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St. Johns River Water Management District\CFWI\Cost Estimation Work Group 2018\"/>
    </mc:Choice>
  </mc:AlternateContent>
  <bookViews>
    <workbookView xWindow="0" yWindow="0" windowWidth="23040" windowHeight="9924" tabRatio="644"/>
  </bookViews>
  <sheets>
    <sheet name="Summary" sheetId="15" r:id="rId1"/>
    <sheet name="Gen Info" sheetId="12" r:id="rId2"/>
    <sheet name="1.1.4 Deep Bed Filters" sheetId="16" r:id="rId3"/>
    <sheet name="1.1.10 Chlorine Disinf Syst" sheetId="17" r:id="rId4"/>
    <sheet name="1.1.15 Trans Pumping Sys(RC Bs)" sheetId="18" r:id="rId5"/>
    <sheet name="1.1.16 High Service Pumping Sys" sheetId="19" r:id="rId6"/>
    <sheet name="1.2 Transmission pipelines" sheetId="14" r:id="rId7"/>
    <sheet name="1.5 Water Prod Well" sheetId="20" r:id="rId8"/>
    <sheet name="1.6 Concrete Storage Tanks" sheetId="13" r:id="rId9"/>
    <sheet name="2.1a UFA Wellfield" sheetId="2" r:id="rId10"/>
    <sheet name="2.1b LFA wellfield" sheetId="1" r:id="rId11"/>
    <sheet name="2.2 ASR systems" sheetId="21" r:id="rId12"/>
    <sheet name="2.3 Booster PS" sheetId="10" r:id="rId13"/>
    <sheet name="2.4 Residual Disinfection" sheetId="11" r:id="rId14"/>
    <sheet name="2.6 Brackish GW TP" sheetId="4" r:id="rId15"/>
    <sheet name="2.7 Conv SW TP" sheetId="5" r:id="rId16"/>
    <sheet name="2.8.1  Brackish SW TP -Potable" sheetId="6" r:id="rId17"/>
    <sheet name="2.8.2 Brack SW TP - Reuse Aug" sheetId="7" r:id="rId18"/>
    <sheet name="2.10a Seawater Desal WTP &lt;25mgd" sheetId="8" r:id="rId19"/>
    <sheet name="2.10b Seawater Desal WTP&gt;25mgd" sheetId="9" r:id="rId20"/>
    <sheet name="2.11.1 Mod to existing WWTP" sheetId="22" r:id="rId21"/>
    <sheet name="2.12  Ponds &amp; Reservoirs" sheetId="23" r:id="rId22"/>
    <sheet name="2.13 RIBs" sheetId="24" r:id="rId23"/>
    <sheet name="2.14 SW Intake" sheetId="3" r:id="rId24"/>
    <sheet name="2.15 Injection Well syst LFA" sheetId="25" r:id="rId25"/>
    <sheet name="ASR MW" sheetId="27" r:id="rId26"/>
    <sheet name="Proj Known costs" sheetId="28" r:id="rId27"/>
  </sheets>
  <definedNames>
    <definedName name="_xlnm.Print_Area" localSheetId="0">Summary!$A$2:$J$10</definedName>
  </definedNames>
  <calcPr calcId="171027"/>
</workbook>
</file>

<file path=xl/calcChain.xml><?xml version="1.0" encoding="utf-8"?>
<calcChain xmlns="http://schemas.openxmlformats.org/spreadsheetml/2006/main">
  <c r="D4" i="28" l="1"/>
  <c r="D3" i="28"/>
  <c r="B4" i="28"/>
  <c r="B3" i="28"/>
  <c r="D5" i="27"/>
  <c r="D4" i="27"/>
  <c r="B5" i="27"/>
  <c r="B4" i="27"/>
  <c r="D5" i="25"/>
  <c r="D4" i="25"/>
  <c r="D5" i="3"/>
  <c r="D4" i="3"/>
  <c r="D5" i="24"/>
  <c r="D4" i="24"/>
  <c r="D5" i="23"/>
  <c r="D4" i="23"/>
  <c r="D5" i="22"/>
  <c r="D4" i="22"/>
  <c r="D5" i="9"/>
  <c r="D4" i="9"/>
  <c r="D5" i="8"/>
  <c r="D4" i="8"/>
  <c r="D5" i="7"/>
  <c r="D4" i="7"/>
  <c r="D5" i="6"/>
  <c r="D4" i="6"/>
  <c r="D5" i="5"/>
  <c r="D4" i="5"/>
  <c r="D5" i="4"/>
  <c r="D4" i="4"/>
  <c r="D5" i="11"/>
  <c r="D4" i="11"/>
  <c r="D5" i="10"/>
  <c r="D4" i="10"/>
  <c r="B5" i="10"/>
  <c r="B4" i="10"/>
  <c r="D5" i="21"/>
  <c r="D4" i="21"/>
  <c r="D5" i="1"/>
  <c r="D4" i="1"/>
  <c r="D5" i="2"/>
  <c r="D4" i="2"/>
  <c r="D5" i="13"/>
  <c r="D4" i="13"/>
  <c r="D5" i="14"/>
  <c r="D4" i="14"/>
  <c r="D5" i="18"/>
  <c r="D4" i="18"/>
  <c r="D5" i="17"/>
  <c r="D4" i="17"/>
  <c r="D5" i="16"/>
  <c r="D4" i="16"/>
  <c r="D5" i="19"/>
  <c r="D4" i="19"/>
  <c r="B5" i="19"/>
  <c r="B4" i="19"/>
  <c r="D5" i="20"/>
  <c r="B5" i="20"/>
  <c r="D4" i="20"/>
  <c r="B4" i="20"/>
  <c r="C118" i="15"/>
  <c r="C115" i="15"/>
  <c r="H109" i="15" l="1"/>
  <c r="G109" i="15"/>
  <c r="F109" i="15"/>
  <c r="H108" i="15"/>
  <c r="G108" i="15"/>
  <c r="F108" i="15"/>
  <c r="H107" i="15"/>
  <c r="G107" i="15"/>
  <c r="F107" i="15"/>
  <c r="H106" i="15"/>
  <c r="G106" i="15"/>
  <c r="F106" i="15"/>
  <c r="H105" i="15"/>
  <c r="G105" i="15"/>
  <c r="F105" i="15"/>
  <c r="H104" i="15"/>
  <c r="G104" i="15"/>
  <c r="F104" i="15"/>
  <c r="H98" i="15"/>
  <c r="G98" i="15"/>
  <c r="F98" i="15"/>
  <c r="H97" i="15"/>
  <c r="G97" i="15"/>
  <c r="F97" i="15"/>
  <c r="H96" i="15"/>
  <c r="G96" i="15"/>
  <c r="F96" i="15"/>
  <c r="H95" i="15"/>
  <c r="G95" i="15"/>
  <c r="F95" i="15"/>
  <c r="H94" i="15"/>
  <c r="G94" i="15"/>
  <c r="F94" i="15"/>
  <c r="H93" i="15"/>
  <c r="G93" i="15"/>
  <c r="F93" i="15"/>
  <c r="H92" i="15"/>
  <c r="G92" i="15"/>
  <c r="F92" i="15"/>
  <c r="H91" i="15"/>
  <c r="G91" i="15"/>
  <c r="F91" i="15"/>
  <c r="H90" i="15"/>
  <c r="G90" i="15"/>
  <c r="F90" i="15"/>
  <c r="H89" i="15"/>
  <c r="G89" i="15"/>
  <c r="F89" i="15"/>
  <c r="H88" i="15"/>
  <c r="G88" i="15"/>
  <c r="F88" i="15"/>
  <c r="H87" i="15"/>
  <c r="G87" i="15"/>
  <c r="F87" i="15"/>
  <c r="H86" i="15"/>
  <c r="G86" i="15"/>
  <c r="F86" i="15"/>
  <c r="H85" i="15"/>
  <c r="G85" i="15"/>
  <c r="F85" i="15"/>
  <c r="H84" i="15"/>
  <c r="G84" i="15"/>
  <c r="F84" i="15"/>
  <c r="H83" i="15"/>
  <c r="G83" i="15"/>
  <c r="F83" i="15"/>
  <c r="H82" i="15"/>
  <c r="G82" i="15"/>
  <c r="F82" i="15"/>
  <c r="H81" i="15"/>
  <c r="G81" i="15"/>
  <c r="F81" i="15"/>
  <c r="H80" i="15"/>
  <c r="G80" i="15"/>
  <c r="F80" i="15"/>
  <c r="H79" i="15"/>
  <c r="G79" i="15"/>
  <c r="F79" i="15"/>
  <c r="H78" i="15"/>
  <c r="G78" i="15"/>
  <c r="F78" i="15"/>
  <c r="H77" i="15"/>
  <c r="G77" i="15"/>
  <c r="F77" i="15"/>
  <c r="H76" i="15"/>
  <c r="G76" i="15"/>
  <c r="F76" i="15"/>
  <c r="H75" i="15"/>
  <c r="G75" i="15"/>
  <c r="F75" i="15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G115" i="15"/>
  <c r="G114" i="15"/>
  <c r="G113" i="15"/>
  <c r="I309" i="15"/>
  <c r="G308" i="15"/>
  <c r="G307" i="15"/>
  <c r="G306" i="15"/>
  <c r="C311" i="15"/>
  <c r="C308" i="15"/>
  <c r="C306" i="15"/>
  <c r="B7" i="28"/>
  <c r="B9" i="28" s="1"/>
  <c r="L10" i="28"/>
  <c r="C307" i="15" l="1"/>
  <c r="C309" i="15" s="1"/>
  <c r="L6" i="28"/>
  <c r="L7" i="28"/>
  <c r="L11" i="28"/>
  <c r="L5" i="28"/>
  <c r="L8" i="28"/>
  <c r="L9" i="28"/>
  <c r="B10" i="28" l="1"/>
  <c r="B12" i="28" s="1"/>
  <c r="B13" i="28" s="1"/>
  <c r="B11" i="19"/>
  <c r="B10" i="19"/>
  <c r="M5" i="19"/>
  <c r="B11" i="10"/>
  <c r="B10" i="10"/>
  <c r="C18" i="10" s="1"/>
  <c r="M5" i="10"/>
  <c r="H20" i="27"/>
  <c r="G20" i="27"/>
  <c r="F20" i="27"/>
  <c r="E20" i="27"/>
  <c r="I18" i="27"/>
  <c r="C301" i="15" s="1"/>
  <c r="I15" i="27"/>
  <c r="C298" i="15" s="1"/>
  <c r="H14" i="27"/>
  <c r="H16" i="27" s="1"/>
  <c r="G13" i="27"/>
  <c r="F13" i="27"/>
  <c r="E13" i="27"/>
  <c r="D13" i="27"/>
  <c r="C13" i="27"/>
  <c r="N5" i="27"/>
  <c r="C15" i="20"/>
  <c r="C113" i="15" s="1"/>
  <c r="M5" i="20"/>
  <c r="D31" i="14"/>
  <c r="D25" i="14"/>
  <c r="D24" i="14"/>
  <c r="D23" i="14"/>
  <c r="C18" i="19" l="1"/>
  <c r="C13" i="19"/>
  <c r="C14" i="19" s="1"/>
  <c r="C13" i="10"/>
  <c r="C14" i="10" s="1"/>
  <c r="I13" i="27"/>
  <c r="C296" i="15" s="1"/>
  <c r="M11" i="19"/>
  <c r="M10" i="19"/>
  <c r="M9" i="19"/>
  <c r="M7" i="19"/>
  <c r="M8" i="19"/>
  <c r="M6" i="19"/>
  <c r="M11" i="10"/>
  <c r="M10" i="10"/>
  <c r="M9" i="10"/>
  <c r="M7" i="10"/>
  <c r="M8" i="10"/>
  <c r="M6" i="10"/>
  <c r="N11" i="27"/>
  <c r="N9" i="27"/>
  <c r="N7" i="27"/>
  <c r="N10" i="27"/>
  <c r="H17" i="27" s="1"/>
  <c r="H19" i="27" s="1"/>
  <c r="N8" i="27"/>
  <c r="N6" i="27"/>
  <c r="C14" i="27"/>
  <c r="C16" i="27" s="1"/>
  <c r="E14" i="27"/>
  <c r="E16" i="27" s="1"/>
  <c r="G14" i="27"/>
  <c r="G16" i="27" s="1"/>
  <c r="D14" i="27"/>
  <c r="D16" i="27" s="1"/>
  <c r="F14" i="27"/>
  <c r="F16" i="27" s="1"/>
  <c r="F17" i="27" s="1"/>
  <c r="F19" i="27" s="1"/>
  <c r="M10" i="20"/>
  <c r="M8" i="20"/>
  <c r="M6" i="20"/>
  <c r="M11" i="20"/>
  <c r="M9" i="20"/>
  <c r="M7" i="20"/>
  <c r="C16" i="20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C18" i="20" l="1"/>
  <c r="C114" i="15"/>
  <c r="C16" i="19"/>
  <c r="C17" i="19" s="1"/>
  <c r="C19" i="19" s="1"/>
  <c r="C20" i="19" s="1"/>
  <c r="D17" i="27"/>
  <c r="D19" i="27" s="1"/>
  <c r="D20" i="27" s="1"/>
  <c r="E17" i="27"/>
  <c r="E19" i="27" s="1"/>
  <c r="C16" i="10"/>
  <c r="C17" i="10" s="1"/>
  <c r="C19" i="10" s="1"/>
  <c r="C20" i="10" s="1"/>
  <c r="G17" i="27"/>
  <c r="G19" i="27" s="1"/>
  <c r="C17" i="27"/>
  <c r="I16" i="27"/>
  <c r="C299" i="15" s="1"/>
  <c r="I14" i="27"/>
  <c r="C297" i="15" s="1"/>
  <c r="G234" i="15"/>
  <c r="D234" i="15"/>
  <c r="G224" i="15"/>
  <c r="D224" i="15"/>
  <c r="C227" i="15"/>
  <c r="G214" i="15"/>
  <c r="D214" i="15"/>
  <c r="C217" i="15"/>
  <c r="G204" i="15"/>
  <c r="D204" i="15"/>
  <c r="C207" i="15"/>
  <c r="G194" i="15"/>
  <c r="D194" i="15"/>
  <c r="C197" i="15"/>
  <c r="C187" i="15"/>
  <c r="I184" i="15"/>
  <c r="G184" i="15"/>
  <c r="D184" i="15"/>
  <c r="G174" i="15"/>
  <c r="D174" i="15"/>
  <c r="C177" i="15"/>
  <c r="G164" i="15"/>
  <c r="D164" i="15"/>
  <c r="C167" i="15"/>
  <c r="G154" i="15"/>
  <c r="D154" i="15"/>
  <c r="C157" i="15"/>
  <c r="C147" i="15"/>
  <c r="G144" i="15"/>
  <c r="D144" i="15"/>
  <c r="G134" i="15"/>
  <c r="D134" i="15"/>
  <c r="C137" i="15"/>
  <c r="G122" i="15"/>
  <c r="C125" i="15"/>
  <c r="F103" i="15"/>
  <c r="F102" i="15"/>
  <c r="F101" i="15"/>
  <c r="F100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H103" i="15"/>
  <c r="G103" i="15"/>
  <c r="H102" i="15"/>
  <c r="G102" i="15"/>
  <c r="H101" i="15"/>
  <c r="G101" i="15"/>
  <c r="H100" i="15"/>
  <c r="G100" i="15"/>
  <c r="H74" i="15"/>
  <c r="G74" i="15"/>
  <c r="H73" i="15"/>
  <c r="G73" i="15"/>
  <c r="H72" i="15"/>
  <c r="G72" i="15"/>
  <c r="H71" i="15"/>
  <c r="G71" i="15"/>
  <c r="H70" i="15"/>
  <c r="G70" i="15"/>
  <c r="H69" i="15"/>
  <c r="G69" i="15"/>
  <c r="H68" i="15"/>
  <c r="G68" i="15"/>
  <c r="H67" i="15"/>
  <c r="G67" i="15"/>
  <c r="H66" i="15"/>
  <c r="G66" i="15"/>
  <c r="H65" i="15"/>
  <c r="G65" i="15"/>
  <c r="H64" i="15"/>
  <c r="G64" i="15"/>
  <c r="H63" i="15"/>
  <c r="G63" i="15"/>
  <c r="H62" i="15"/>
  <c r="G62" i="15"/>
  <c r="H61" i="15"/>
  <c r="G61" i="15"/>
  <c r="H60" i="15"/>
  <c r="G60" i="15"/>
  <c r="H59" i="15"/>
  <c r="G59" i="15"/>
  <c r="F59" i="15"/>
  <c r="C58" i="15"/>
  <c r="D55" i="15"/>
  <c r="G45" i="15"/>
  <c r="D45" i="15"/>
  <c r="C48" i="15"/>
  <c r="G35" i="15"/>
  <c r="D35" i="15"/>
  <c r="C38" i="15"/>
  <c r="C28" i="15"/>
  <c r="G25" i="15"/>
  <c r="D25" i="15"/>
  <c r="G15" i="15"/>
  <c r="D15" i="15"/>
  <c r="C18" i="15"/>
  <c r="C237" i="15"/>
  <c r="G244" i="15"/>
  <c r="D244" i="15"/>
  <c r="C247" i="15"/>
  <c r="D265" i="15"/>
  <c r="C268" i="15"/>
  <c r="G275" i="15"/>
  <c r="D275" i="15"/>
  <c r="C278" i="15"/>
  <c r="G285" i="15"/>
  <c r="D285" i="15"/>
  <c r="C288" i="15"/>
  <c r="H295" i="15"/>
  <c r="H297" i="15"/>
  <c r="G297" i="15"/>
  <c r="H301" i="15"/>
  <c r="G301" i="15"/>
  <c r="F301" i="15"/>
  <c r="H300" i="15"/>
  <c r="G300" i="15"/>
  <c r="F300" i="15"/>
  <c r="H299" i="15"/>
  <c r="G299" i="15"/>
  <c r="F299" i="15"/>
  <c r="H298" i="15"/>
  <c r="G298" i="15"/>
  <c r="F298" i="15"/>
  <c r="F297" i="15"/>
  <c r="D254" i="15"/>
  <c r="G254" i="15"/>
  <c r="E15" i="23"/>
  <c r="E20" i="23" s="1"/>
  <c r="C19" i="20" l="1"/>
  <c r="C116" i="15"/>
  <c r="C19" i="27"/>
  <c r="I17" i="27"/>
  <c r="C300" i="15" s="1"/>
  <c r="C258" i="15"/>
  <c r="E16" i="23"/>
  <c r="E18" i="23" s="1"/>
  <c r="Q11" i="15"/>
  <c r="Q10" i="15"/>
  <c r="Q9" i="15"/>
  <c r="Q8" i="15"/>
  <c r="C310" i="15" s="1"/>
  <c r="C312" i="15" s="1"/>
  <c r="C313" i="15" s="1"/>
  <c r="Q7" i="15"/>
  <c r="Q6" i="15"/>
  <c r="Q5" i="15"/>
  <c r="I19" i="27" l="1"/>
  <c r="C302" i="15" s="1"/>
  <c r="C20" i="27"/>
  <c r="I20" i="27" s="1"/>
  <c r="C303" i="15" s="1"/>
  <c r="C21" i="20"/>
  <c r="C117" i="15"/>
  <c r="C22" i="20" l="1"/>
  <c r="C120" i="15" s="1"/>
  <c r="C119" i="15"/>
  <c r="C13" i="24" l="1"/>
  <c r="B5" i="25"/>
  <c r="B4" i="25"/>
  <c r="B5" i="3"/>
  <c r="B4" i="3"/>
  <c r="B5" i="24"/>
  <c r="B4" i="24"/>
  <c r="B5" i="23"/>
  <c r="B4" i="23"/>
  <c r="C15" i="23" s="1"/>
  <c r="B5" i="22"/>
  <c r="B4" i="22"/>
  <c r="B5" i="9"/>
  <c r="B4" i="9"/>
  <c r="B5" i="8"/>
  <c r="B4" i="8"/>
  <c r="B5" i="7"/>
  <c r="B4" i="7"/>
  <c r="B5" i="6"/>
  <c r="B4" i="6"/>
  <c r="B5" i="5"/>
  <c r="B4" i="5"/>
  <c r="B5" i="4"/>
  <c r="B4" i="4"/>
  <c r="B5" i="11"/>
  <c r="B4" i="11"/>
  <c r="B5" i="21"/>
  <c r="B4" i="21"/>
  <c r="B5" i="1"/>
  <c r="B4" i="1"/>
  <c r="B5" i="2"/>
  <c r="B4" i="2"/>
  <c r="B5" i="13"/>
  <c r="B4" i="13"/>
  <c r="C13" i="13" s="1"/>
  <c r="B5" i="14"/>
  <c r="B4" i="14"/>
  <c r="B5" i="18"/>
  <c r="B4" i="18"/>
  <c r="B5" i="17"/>
  <c r="B4" i="17"/>
  <c r="B5" i="16"/>
  <c r="B4" i="16"/>
  <c r="C18" i="16" l="1"/>
  <c r="C21" i="15" s="1"/>
  <c r="C13" i="16"/>
  <c r="C16" i="15" s="1"/>
  <c r="D21" i="14"/>
  <c r="D26" i="14"/>
  <c r="D22" i="14"/>
  <c r="D19" i="14"/>
  <c r="D30" i="14"/>
  <c r="D29" i="14"/>
  <c r="D27" i="14"/>
  <c r="D18" i="14"/>
  <c r="D28" i="14"/>
  <c r="D20" i="14"/>
  <c r="D17" i="14"/>
  <c r="D16" i="14"/>
  <c r="C16" i="23"/>
  <c r="C257" i="15" s="1"/>
  <c r="C256" i="15"/>
  <c r="C20" i="23"/>
  <c r="C261" i="15" s="1"/>
  <c r="C18" i="18"/>
  <c r="C41" i="15" s="1"/>
  <c r="D67" i="14" l="1"/>
  <c r="C18" i="23"/>
  <c r="B11" i="25"/>
  <c r="M5" i="25"/>
  <c r="M11" i="25" s="1"/>
  <c r="M5" i="24"/>
  <c r="M11" i="24" s="1"/>
  <c r="M5" i="23"/>
  <c r="M11" i="23" s="1"/>
  <c r="B11" i="22"/>
  <c r="M5" i="22"/>
  <c r="M11" i="22" s="1"/>
  <c r="B11" i="21"/>
  <c r="M5" i="21"/>
  <c r="M11" i="21" s="1"/>
  <c r="B11" i="18"/>
  <c r="M5" i="18"/>
  <c r="M11" i="18" s="1"/>
  <c r="B11" i="17"/>
  <c r="M5" i="17"/>
  <c r="M11" i="17" s="1"/>
  <c r="B11" i="16"/>
  <c r="M5" i="16"/>
  <c r="M11" i="16" s="1"/>
  <c r="C128" i="15"/>
  <c r="C259" i="15" l="1"/>
  <c r="M6" i="18"/>
  <c r="M6" i="25"/>
  <c r="M6" i="24"/>
  <c r="M6" i="23"/>
  <c r="M6" i="22"/>
  <c r="M6" i="21"/>
  <c r="M6" i="17"/>
  <c r="M6" i="16"/>
  <c r="M7" i="25"/>
  <c r="M8" i="25"/>
  <c r="M9" i="25"/>
  <c r="M10" i="25"/>
  <c r="B10" i="25"/>
  <c r="G286" i="15" s="1"/>
  <c r="M7" i="24"/>
  <c r="M8" i="24"/>
  <c r="M9" i="24"/>
  <c r="M10" i="24"/>
  <c r="C18" i="24"/>
  <c r="M7" i="23"/>
  <c r="M8" i="23"/>
  <c r="M9" i="23"/>
  <c r="M10" i="23"/>
  <c r="M7" i="22"/>
  <c r="M8" i="22"/>
  <c r="M9" i="22"/>
  <c r="M10" i="22"/>
  <c r="B10" i="22"/>
  <c r="M7" i="21"/>
  <c r="M8" i="21"/>
  <c r="M9" i="21"/>
  <c r="M10" i="21"/>
  <c r="B10" i="21"/>
  <c r="G155" i="15" s="1"/>
  <c r="M7" i="18"/>
  <c r="M8" i="18"/>
  <c r="M9" i="18"/>
  <c r="M10" i="18"/>
  <c r="B10" i="18"/>
  <c r="G36" i="15" s="1"/>
  <c r="M7" i="17"/>
  <c r="M8" i="17"/>
  <c r="M9" i="17"/>
  <c r="M10" i="17"/>
  <c r="B10" i="17"/>
  <c r="C14" i="16"/>
  <c r="M7" i="16"/>
  <c r="M8" i="16"/>
  <c r="M9" i="16"/>
  <c r="M10" i="16"/>
  <c r="B10" i="16"/>
  <c r="G16" i="15" s="1"/>
  <c r="C61" i="15"/>
  <c r="O6" i="14"/>
  <c r="O11" i="14" s="1"/>
  <c r="G245" i="15" l="1"/>
  <c r="C13" i="22"/>
  <c r="C18" i="22"/>
  <c r="C250" i="15" s="1"/>
  <c r="E19" i="23"/>
  <c r="E21" i="23" s="1"/>
  <c r="E22" i="23" s="1"/>
  <c r="C19" i="23"/>
  <c r="C271" i="15"/>
  <c r="C18" i="17"/>
  <c r="C31" i="15" s="1"/>
  <c r="G26" i="15"/>
  <c r="C51" i="15"/>
  <c r="G46" i="15"/>
  <c r="C13" i="17"/>
  <c r="C16" i="16"/>
  <c r="C19" i="15" s="1"/>
  <c r="C17" i="15"/>
  <c r="C13" i="21"/>
  <c r="C18" i="21"/>
  <c r="C160" i="15" s="1"/>
  <c r="C13" i="25"/>
  <c r="C18" i="25"/>
  <c r="C291" i="15" s="1"/>
  <c r="C13" i="18"/>
  <c r="C36" i="15" s="1"/>
  <c r="O12" i="14"/>
  <c r="O8" i="14"/>
  <c r="O10" i="14"/>
  <c r="O7" i="14"/>
  <c r="O9" i="14"/>
  <c r="C260" i="15" l="1"/>
  <c r="C21" i="23"/>
  <c r="C17" i="16"/>
  <c r="C20" i="15" s="1"/>
  <c r="C14" i="17"/>
  <c r="C26" i="15"/>
  <c r="C46" i="15"/>
  <c r="C14" i="24"/>
  <c r="C266" i="15"/>
  <c r="C245" i="15"/>
  <c r="C14" i="22"/>
  <c r="C155" i="15"/>
  <c r="C14" i="21"/>
  <c r="J7" i="14"/>
  <c r="C14" i="25"/>
  <c r="C286" i="15"/>
  <c r="C14" i="18"/>
  <c r="C56" i="15" l="1"/>
  <c r="C22" i="23"/>
  <c r="C263" i="15" s="1"/>
  <c r="C262" i="15"/>
  <c r="C19" i="16"/>
  <c r="C22" i="15" s="1"/>
  <c r="C16" i="17"/>
  <c r="C27" i="15"/>
  <c r="C47" i="15"/>
  <c r="C16" i="24"/>
  <c r="C267" i="15"/>
  <c r="C16" i="22"/>
  <c r="C246" i="15"/>
  <c r="C16" i="21"/>
  <c r="C156" i="15"/>
  <c r="C16" i="25"/>
  <c r="C287" i="15"/>
  <c r="C16" i="18"/>
  <c r="C37" i="15"/>
  <c r="J8" i="14"/>
  <c r="M5" i="13"/>
  <c r="M11" i="13" s="1"/>
  <c r="B11" i="11"/>
  <c r="B10" i="11"/>
  <c r="G175" i="15" s="1"/>
  <c r="M5" i="11"/>
  <c r="M11" i="11" s="1"/>
  <c r="B11" i="9"/>
  <c r="B10" i="9"/>
  <c r="G235" i="15" s="1"/>
  <c r="M5" i="9"/>
  <c r="M11" i="9" s="1"/>
  <c r="C20" i="16" l="1"/>
  <c r="C23" i="15" s="1"/>
  <c r="C17" i="17"/>
  <c r="C29" i="15"/>
  <c r="C49" i="15"/>
  <c r="C17" i="24"/>
  <c r="C269" i="15"/>
  <c r="C248" i="15"/>
  <c r="C17" i="22"/>
  <c r="C158" i="15"/>
  <c r="C17" i="21"/>
  <c r="C17" i="25"/>
  <c r="C289" i="15"/>
  <c r="C17" i="18"/>
  <c r="C39" i="15"/>
  <c r="C57" i="15"/>
  <c r="M8" i="9"/>
  <c r="M6" i="9"/>
  <c r="M6" i="11"/>
  <c r="M8" i="11"/>
  <c r="M8" i="13"/>
  <c r="M6" i="13"/>
  <c r="C13" i="11"/>
  <c r="C175" i="15" s="1"/>
  <c r="C18" i="11"/>
  <c r="C180" i="15" s="1"/>
  <c r="C13" i="9"/>
  <c r="C235" i="15" s="1"/>
  <c r="C18" i="9"/>
  <c r="C240" i="15" s="1"/>
  <c r="M7" i="13"/>
  <c r="M9" i="13"/>
  <c r="M10" i="13"/>
  <c r="M7" i="11"/>
  <c r="M9" i="11"/>
  <c r="M10" i="11"/>
  <c r="M7" i="9"/>
  <c r="M9" i="9"/>
  <c r="M10" i="9"/>
  <c r="C19" i="17" l="1"/>
  <c r="C30" i="15"/>
  <c r="C50" i="15"/>
  <c r="C19" i="24"/>
  <c r="C270" i="15"/>
  <c r="C19" i="22"/>
  <c r="C249" i="15"/>
  <c r="C19" i="21"/>
  <c r="C159" i="15"/>
  <c r="C19" i="25"/>
  <c r="C290" i="15"/>
  <c r="C19" i="18"/>
  <c r="C40" i="15"/>
  <c r="C14" i="11"/>
  <c r="C14" i="9"/>
  <c r="B10" i="4"/>
  <c r="G185" i="15" s="1"/>
  <c r="C52" i="15" l="1"/>
  <c r="C53" i="15"/>
  <c r="C16" i="9"/>
  <c r="C236" i="15"/>
  <c r="C20" i="17"/>
  <c r="C33" i="15" s="1"/>
  <c r="C32" i="15"/>
  <c r="C20" i="24"/>
  <c r="C273" i="15" s="1"/>
  <c r="C272" i="15"/>
  <c r="C251" i="15"/>
  <c r="C20" i="22"/>
  <c r="C252" i="15" s="1"/>
  <c r="C161" i="15"/>
  <c r="C20" i="21"/>
  <c r="C162" i="15" s="1"/>
  <c r="C20" i="25"/>
  <c r="C293" i="15" s="1"/>
  <c r="C292" i="15"/>
  <c r="C20" i="18"/>
  <c r="C43" i="15" s="1"/>
  <c r="C42" i="15"/>
  <c r="C16" i="11"/>
  <c r="C176" i="15"/>
  <c r="C13" i="4"/>
  <c r="C185" i="15" s="1"/>
  <c r="C18" i="4"/>
  <c r="C190" i="15" s="1"/>
  <c r="G165" i="15"/>
  <c r="B11" i="8"/>
  <c r="B10" i="8"/>
  <c r="G225" i="15" s="1"/>
  <c r="M5" i="8"/>
  <c r="M11" i="8" s="1"/>
  <c r="B11" i="7"/>
  <c r="B10" i="7"/>
  <c r="G215" i="15" s="1"/>
  <c r="M5" i="7"/>
  <c r="M11" i="7" s="1"/>
  <c r="B11" i="6"/>
  <c r="B10" i="6"/>
  <c r="G205" i="15" s="1"/>
  <c r="M5" i="6"/>
  <c r="M11" i="6" s="1"/>
  <c r="B11" i="5"/>
  <c r="B10" i="5"/>
  <c r="G195" i="15" s="1"/>
  <c r="M5" i="5"/>
  <c r="M11" i="5" s="1"/>
  <c r="B11" i="4"/>
  <c r="M5" i="4"/>
  <c r="M11" i="4" s="1"/>
  <c r="B11" i="3"/>
  <c r="B10" i="3"/>
  <c r="M5" i="3"/>
  <c r="M11" i="3" s="1"/>
  <c r="B11" i="2"/>
  <c r="B10" i="2"/>
  <c r="M5" i="2"/>
  <c r="M11" i="2" s="1"/>
  <c r="M5" i="1"/>
  <c r="M11" i="1" s="1"/>
  <c r="B11" i="1"/>
  <c r="B10" i="1"/>
  <c r="C17" i="9" l="1"/>
  <c r="C238" i="15"/>
  <c r="G135" i="15"/>
  <c r="C13" i="2"/>
  <c r="C135" i="15" s="1"/>
  <c r="C18" i="3"/>
  <c r="C281" i="15" s="1"/>
  <c r="G276" i="15"/>
  <c r="C18" i="1"/>
  <c r="C150" i="15" s="1"/>
  <c r="G145" i="15"/>
  <c r="M6" i="5"/>
  <c r="C17" i="11"/>
  <c r="C178" i="15"/>
  <c r="M6" i="2"/>
  <c r="M6" i="3"/>
  <c r="M8" i="4"/>
  <c r="M6" i="8"/>
  <c r="C165" i="15"/>
  <c r="C170" i="15"/>
  <c r="C13" i="8"/>
  <c r="C225" i="15" s="1"/>
  <c r="C18" i="8"/>
  <c r="C230" i="15" s="1"/>
  <c r="C13" i="7"/>
  <c r="C215" i="15" s="1"/>
  <c r="C18" i="7"/>
  <c r="C220" i="15" s="1"/>
  <c r="C13" i="6"/>
  <c r="C205" i="15" s="1"/>
  <c r="C18" i="6"/>
  <c r="C210" i="15" s="1"/>
  <c r="C13" i="5"/>
  <c r="C195" i="15" s="1"/>
  <c r="C18" i="5"/>
  <c r="C200" i="15" s="1"/>
  <c r="C13" i="3"/>
  <c r="C276" i="15" s="1"/>
  <c r="C18" i="2"/>
  <c r="C140" i="15" s="1"/>
  <c r="C13" i="1"/>
  <c r="C145" i="15" s="1"/>
  <c r="M8" i="8"/>
  <c r="M8" i="7"/>
  <c r="M6" i="7"/>
  <c r="M6" i="6"/>
  <c r="M8" i="6"/>
  <c r="M8" i="5"/>
  <c r="M6" i="4"/>
  <c r="M8" i="3"/>
  <c r="M8" i="2"/>
  <c r="M6" i="1"/>
  <c r="M8" i="1"/>
  <c r="M10" i="1"/>
  <c r="M7" i="1"/>
  <c r="M9" i="1"/>
  <c r="M7" i="8"/>
  <c r="M9" i="8"/>
  <c r="M10" i="8"/>
  <c r="M7" i="7"/>
  <c r="M9" i="7"/>
  <c r="M10" i="7"/>
  <c r="M7" i="6"/>
  <c r="M9" i="6"/>
  <c r="M10" i="6"/>
  <c r="M7" i="5"/>
  <c r="M9" i="5"/>
  <c r="M10" i="5"/>
  <c r="M7" i="4"/>
  <c r="M9" i="4"/>
  <c r="M10" i="4"/>
  <c r="M7" i="3"/>
  <c r="M9" i="3"/>
  <c r="M10" i="3"/>
  <c r="M7" i="2"/>
  <c r="M9" i="2"/>
  <c r="M10" i="2"/>
  <c r="C8" i="15" l="1"/>
  <c r="C19" i="9"/>
  <c r="C239" i="15"/>
  <c r="C19" i="11"/>
  <c r="C179" i="15"/>
  <c r="C14" i="1"/>
  <c r="C146" i="15" s="1"/>
  <c r="C14" i="8"/>
  <c r="C14" i="7"/>
  <c r="C14" i="6"/>
  <c r="C14" i="5"/>
  <c r="C14" i="4"/>
  <c r="C14" i="3"/>
  <c r="C14" i="2"/>
  <c r="C20" i="9" l="1"/>
  <c r="C242" i="15" s="1"/>
  <c r="C241" i="15"/>
  <c r="C16" i="8"/>
  <c r="C226" i="15"/>
  <c r="C16" i="7"/>
  <c r="C216" i="15"/>
  <c r="C16" i="6"/>
  <c r="C206" i="15"/>
  <c r="C16" i="5"/>
  <c r="C196" i="15"/>
  <c r="C16" i="1"/>
  <c r="C17" i="1" s="1"/>
  <c r="C16" i="3"/>
  <c r="C277" i="15"/>
  <c r="C16" i="4"/>
  <c r="C186" i="15"/>
  <c r="C20" i="11"/>
  <c r="C182" i="15" s="1"/>
  <c r="C181" i="15"/>
  <c r="C166" i="15"/>
  <c r="C16" i="2"/>
  <c r="C136" i="15"/>
  <c r="C17" i="8" l="1"/>
  <c r="C228" i="15"/>
  <c r="C17" i="7"/>
  <c r="C218" i="15"/>
  <c r="C17" i="6"/>
  <c r="C208" i="15"/>
  <c r="C17" i="5"/>
  <c r="C198" i="15"/>
  <c r="C148" i="15"/>
  <c r="C17" i="3"/>
  <c r="C279" i="15"/>
  <c r="C17" i="4"/>
  <c r="C188" i="15"/>
  <c r="C168" i="15"/>
  <c r="C19" i="1"/>
  <c r="C149" i="15"/>
  <c r="C17" i="2"/>
  <c r="C138" i="15"/>
  <c r="C19" i="8" l="1"/>
  <c r="C229" i="15"/>
  <c r="C19" i="7"/>
  <c r="C219" i="15"/>
  <c r="C19" i="6"/>
  <c r="C209" i="15"/>
  <c r="C19" i="5"/>
  <c r="C199" i="15"/>
  <c r="C19" i="3"/>
  <c r="C280" i="15"/>
  <c r="C19" i="4"/>
  <c r="C189" i="15"/>
  <c r="C169" i="15"/>
  <c r="C20" i="1"/>
  <c r="C152" i="15" s="1"/>
  <c r="C151" i="15"/>
  <c r="C19" i="2"/>
  <c r="C139" i="15"/>
  <c r="C20" i="8" l="1"/>
  <c r="C232" i="15" s="1"/>
  <c r="C231" i="15"/>
  <c r="C20" i="7"/>
  <c r="C222" i="15" s="1"/>
  <c r="C221" i="15"/>
  <c r="C20" i="6"/>
  <c r="C212" i="15" s="1"/>
  <c r="C211" i="15"/>
  <c r="C20" i="5"/>
  <c r="C202" i="15" s="1"/>
  <c r="C201" i="15"/>
  <c r="C20" i="3"/>
  <c r="C283" i="15" s="1"/>
  <c r="C282" i="15"/>
  <c r="C20" i="4"/>
  <c r="C192" i="15" s="1"/>
  <c r="C191" i="15"/>
  <c r="C172" i="15"/>
  <c r="C171" i="15"/>
  <c r="C20" i="2"/>
  <c r="C142" i="15" s="1"/>
  <c r="C141" i="15"/>
  <c r="C123" i="15" l="1"/>
  <c r="C3" i="15" s="1"/>
  <c r="C14" i="13"/>
  <c r="C124" i="15" s="1"/>
  <c r="C4" i="15" s="1"/>
  <c r="C16" i="13" l="1"/>
  <c r="C17" i="13" s="1"/>
  <c r="C126" i="15" l="1"/>
  <c r="C19" i="13"/>
  <c r="C20" i="13" s="1"/>
  <c r="C127" i="15"/>
  <c r="C129" i="15" l="1"/>
  <c r="C130" i="15"/>
  <c r="C5" i="15"/>
  <c r="J10" i="14"/>
  <c r="C59" i="15" l="1"/>
  <c r="C6" i="15" s="1"/>
  <c r="J11" i="14"/>
  <c r="C60" i="15" l="1"/>
  <c r="C7" i="15" s="1"/>
  <c r="J13" i="14"/>
  <c r="C62" i="15" l="1"/>
  <c r="C9" i="15" s="1"/>
  <c r="J14" i="14"/>
  <c r="C63" i="15" s="1"/>
  <c r="C10" i="15" s="1"/>
</calcChain>
</file>

<file path=xl/sharedStrings.xml><?xml version="1.0" encoding="utf-8"?>
<sst xmlns="http://schemas.openxmlformats.org/spreadsheetml/2006/main" count="1499" uniqueCount="192">
  <si>
    <t>Cost Basis Data:</t>
  </si>
  <si>
    <t>Cost Basis</t>
  </si>
  <si>
    <t xml:space="preserve"> ENRCCI</t>
  </si>
  <si>
    <t>Interest Rate =</t>
  </si>
  <si>
    <t>References:</t>
  </si>
  <si>
    <t>1. SJ2008-SP10. Engineering Assistance in Updating Info. On Water Supply &amp; Reuse System Component Costs, Black &amp; Veatch, February 2008</t>
  </si>
  <si>
    <t xml:space="preserve"> % / year</t>
  </si>
  <si>
    <t>System Design Data:</t>
  </si>
  <si>
    <t>mgd</t>
  </si>
  <si>
    <t>PF =</t>
  </si>
  <si>
    <t>UF =</t>
  </si>
  <si>
    <t>Non construction:</t>
  </si>
  <si>
    <t>Construction OPC:</t>
  </si>
  <si>
    <t>Service Life:</t>
  </si>
  <si>
    <t>years</t>
  </si>
  <si>
    <t>3. SJ2010-SP4, Cost Estimating &amp; Economic Criteria for 2010 DWSP, Ron L.Wycoff, P.E. Sept 2009</t>
  </si>
  <si>
    <t>2. SJ2008-SP13, Water Supply Facilities Cost Equations for Application to AWS Projects Investigations &amp; RWSP, Ron L. Wycoff, P.E., June, 2008</t>
  </si>
  <si>
    <t>Economic Parameters</t>
  </si>
  <si>
    <t xml:space="preserve">Interest rate (annual %) =    </t>
  </si>
  <si>
    <t>permanent CRF =</t>
  </si>
  <si>
    <t>Total Capital Costs:</t>
  </si>
  <si>
    <t>Equivalent Annual Costs:</t>
  </si>
  <si>
    <t>O&amp;M Costs:</t>
  </si>
  <si>
    <t>Unit Production Costs:</t>
  </si>
  <si>
    <t>$/year</t>
  </si>
  <si>
    <t>$/kgal</t>
  </si>
  <si>
    <t>Qd (MDF) =</t>
  </si>
  <si>
    <t xml:space="preserve"> yr. CRF =</t>
  </si>
  <si>
    <t>unit energy cost =</t>
  </si>
  <si>
    <t xml:space="preserve"> $/kWh</t>
  </si>
  <si>
    <t>Total Annual Costs:</t>
  </si>
  <si>
    <t>TDS =</t>
  </si>
  <si>
    <t>mg/L</t>
  </si>
  <si>
    <t>Cost Estimates on the following sheets are based on equations developed by Ron Wycoff,P.E. using the information in</t>
  </si>
  <si>
    <t xml:space="preserve">the SJRWMD publication SJ2008-SP10.  Copies of the following referenced documents are available at: </t>
  </si>
  <si>
    <t>Construction OPC mark ups for water supply facilities include:</t>
  </si>
  <si>
    <t>15% for contractor overhead &amp; profit, mobilization &amp; demobilization,</t>
  </si>
  <si>
    <t>20% for construction contingency.</t>
  </si>
  <si>
    <t>Construction OPC mark ups for transmission pipelines include:</t>
  </si>
  <si>
    <t>10% for contractor overhead &amp; profit, mobilization &amp; demobilization,</t>
  </si>
  <si>
    <t>5% for construction contingency</t>
  </si>
  <si>
    <t>Non construction costs are assumed to be 20% of construction costs and include:</t>
  </si>
  <si>
    <t>Facilities planning, Engineering design, Permitting, Services during construction</t>
  </si>
  <si>
    <t xml:space="preserve"> and Administration.</t>
  </si>
  <si>
    <t>Qadf (ADF) =</t>
  </si>
  <si>
    <t>Acronyms:</t>
  </si>
  <si>
    <t>ADF - average daily flow</t>
  </si>
  <si>
    <t>CRF - Captial Recovery Factor</t>
  </si>
  <si>
    <t>ENRCCI- Engineering News Record Construction Cost Index</t>
  </si>
  <si>
    <t>Kgal - thousand gallons</t>
  </si>
  <si>
    <t>kWh - kilowatt hour</t>
  </si>
  <si>
    <t>MDF - maximum daily flow</t>
  </si>
  <si>
    <t>MGD - million gallons per day</t>
  </si>
  <si>
    <t>OPC - opinion of probable cost</t>
  </si>
  <si>
    <t>PF - peaking factor</t>
  </si>
  <si>
    <t>UF - utilization factor</t>
  </si>
  <si>
    <t>TDS - total dissolved solids concentration</t>
  </si>
  <si>
    <t>mg/L - milligrams per liter</t>
  </si>
  <si>
    <t>O&amp;M - operation and maintenance</t>
  </si>
  <si>
    <t>Enter values in red cells only</t>
  </si>
  <si>
    <t>MG</t>
  </si>
  <si>
    <t>(insignificant)</t>
  </si>
  <si>
    <t>V- volume</t>
  </si>
  <si>
    <t>Qd - design capacity of the system</t>
  </si>
  <si>
    <t>Qadf - average daily production or usage of the system</t>
  </si>
  <si>
    <t>Unit Cost $/ft.</t>
  </si>
  <si>
    <t>Nominal Pipe Diameter, Inches</t>
  </si>
  <si>
    <t>Rural</t>
  </si>
  <si>
    <t>Suburban</t>
  </si>
  <si>
    <t xml:space="preserve">Urban </t>
  </si>
  <si>
    <t>Construction Right of Way width, ft.</t>
  </si>
  <si>
    <t>Land Value:</t>
  </si>
  <si>
    <t>1.2 Transmission pipelines</t>
  </si>
  <si>
    <t>Diameter</t>
  </si>
  <si>
    <t xml:space="preserve">Length (ft) </t>
  </si>
  <si>
    <t>Cost</t>
  </si>
  <si>
    <t>Land use</t>
  </si>
  <si>
    <t xml:space="preserve">Land Use: </t>
  </si>
  <si>
    <t>Total:</t>
  </si>
  <si>
    <t>2.14 Surface Water Intake</t>
  </si>
  <si>
    <t>2.6 Brackish Groundwater Treatment Plant</t>
  </si>
  <si>
    <t>2.7 Conventional Surface Water Treatment Plant</t>
  </si>
  <si>
    <t>2.1b Lower Floridan Aquifer Wellfield</t>
  </si>
  <si>
    <t>2.1a Upper Floridan Aquifer Wellfield</t>
  </si>
  <si>
    <t>2.8.2 Brackish Surface Water Treatment Plant - Reuse Augmentation</t>
  </si>
  <si>
    <t>2.8.1  Brackish Surface Water Treatment Plant - Potable</t>
  </si>
  <si>
    <t>2.3 Booster Pump Station</t>
  </si>
  <si>
    <t>2.4 Residual Disinfection for Transmission Systems</t>
  </si>
  <si>
    <t>1.6 Ground Storage Tanks</t>
  </si>
  <si>
    <t>ROW Land Value:</t>
  </si>
  <si>
    <t>Project Name:</t>
  </si>
  <si>
    <t>Project Totals:</t>
  </si>
  <si>
    <t>Components</t>
  </si>
  <si>
    <t>1.1.4 Deep Bed Filters</t>
  </si>
  <si>
    <t xml:space="preserve">1.1.10 Chlorine Disinfection System </t>
  </si>
  <si>
    <t xml:space="preserve">1.1.16 High Service Pumping System </t>
  </si>
  <si>
    <t xml:space="preserve">1.2 Transmission Piping </t>
  </si>
  <si>
    <t>Systems</t>
  </si>
  <si>
    <t xml:space="preserve">2.1a Wellfield, Upper Floridan Aquifer </t>
  </si>
  <si>
    <t xml:space="preserve">2.1b Wellfield, Lower Floridan Aquifer </t>
  </si>
  <si>
    <t xml:space="preserve">2.3 Booster Pump Station </t>
  </si>
  <si>
    <t xml:space="preserve">2.4 Residual Disinfection for Transmission System </t>
  </si>
  <si>
    <t xml:space="preserve">2.6 Brackish Groundwater Treatment </t>
  </si>
  <si>
    <t xml:space="preserve">2.11.1 Modifications to Existing WWTP </t>
  </si>
  <si>
    <t xml:space="preserve">2.13 Rapid Infiltration Basin System </t>
  </si>
  <si>
    <t xml:space="preserve">2.14 Surface Water Intake </t>
  </si>
  <si>
    <t xml:space="preserve">2.15 Injection Well System, LFA </t>
  </si>
  <si>
    <t>ASR Monitor Wells</t>
  </si>
  <si>
    <t xml:space="preserve">1.6 Concrete GST </t>
  </si>
  <si>
    <t>Use the values above for the land use category</t>
  </si>
  <si>
    <t xml:space="preserve"> Land Value:</t>
  </si>
  <si>
    <t>1.1.10 Chlorine Disinfection System</t>
  </si>
  <si>
    <t>1.1.16 High Service Pumping System</t>
  </si>
  <si>
    <t>2.2 Aquifer Storage Recovery Systems</t>
  </si>
  <si>
    <t>2.11.1 Modifications to Existing WWTP</t>
  </si>
  <si>
    <t>2.13 Rapid Infiltration Basins</t>
  </si>
  <si>
    <t>2.15 Injection Well System (LFA)</t>
  </si>
  <si>
    <t>ASR MW</t>
  </si>
  <si>
    <t xml:space="preserve">2.2 Aquifer Storage Recovery (ASR) Systems </t>
  </si>
  <si>
    <t>V=</t>
  </si>
  <si>
    <t xml:space="preserve"> V =</t>
  </si>
  <si>
    <t>V =</t>
  </si>
  <si>
    <t>Diameter =</t>
  </si>
  <si>
    <t>inches</t>
  </si>
  <si>
    <t>Depth =</t>
  </si>
  <si>
    <t>feet</t>
  </si>
  <si>
    <t>Insignificant</t>
  </si>
  <si>
    <t xml:space="preserve">1.5 Water Production Well </t>
  </si>
  <si>
    <t xml:space="preserve">Depth </t>
  </si>
  <si>
    <t xml:space="preserve">Diameter </t>
  </si>
  <si>
    <t>Diameter (in)</t>
  </si>
  <si>
    <t># of wells</t>
  </si>
  <si>
    <t xml:space="preserve">Depth (ft) </t>
  </si>
  <si>
    <t>Q =</t>
  </si>
  <si>
    <t>Totals</t>
  </si>
  <si>
    <t xml:space="preserve">2.7 Conventional Surface Water Treatment </t>
  </si>
  <si>
    <t>2.8.1  Brackish Surface Water Treatment - Potable</t>
  </si>
  <si>
    <t>2.8.2  Brackish Surface Water Treatment - Reuse Augmentation</t>
  </si>
  <si>
    <t>Projects with known construction costs</t>
  </si>
  <si>
    <t>** contact Estimating team for this value</t>
  </si>
  <si>
    <t xml:space="preserve">mgd </t>
  </si>
  <si>
    <t xml:space="preserve">Date of Construction / Bid cost (MM/YYYY): </t>
  </si>
  <si>
    <t>2.10 a  Seawater Desal WTP &lt; 25 mgd</t>
  </si>
  <si>
    <t>2.10 b  Seawater Desal WTP &gt; 25 mgd</t>
  </si>
  <si>
    <t>2.10b Complete Seawater Desalination Water Treatment Plant (with intake &amp; concentrate outfall) Qd &gt; 25 mgd</t>
  </si>
  <si>
    <t>2.10a Complete Seawater Desalination Water Treatment Plant (with intake &amp; concentrate outfall) Qd &lt; 25 mgd</t>
  </si>
  <si>
    <t>V&lt; 117 MG</t>
  </si>
  <si>
    <t>V&gt;117 MG</t>
  </si>
  <si>
    <t>Well type 1</t>
  </si>
  <si>
    <t>Well type 2</t>
  </si>
  <si>
    <t>Well type 3</t>
  </si>
  <si>
    <t>Well type 4</t>
  </si>
  <si>
    <t>Well type 5</t>
  </si>
  <si>
    <t>Fill in red blocks on tabs for only those components &amp; / or systems included in this project.</t>
  </si>
  <si>
    <t>1.1.15 Transfer Pumping System (Reclaimed Booster)</t>
  </si>
  <si>
    <t>Reclaimed</t>
  </si>
  <si>
    <t>Potable</t>
  </si>
  <si>
    <t>**</t>
  </si>
  <si>
    <t>** Peaking Factor:</t>
  </si>
  <si>
    <t>Dir.Drill</t>
  </si>
  <si>
    <t>Dir. Drill</t>
  </si>
  <si>
    <t>Pipe Diameter &gt; 42", Insert costs below</t>
  </si>
  <si>
    <t>9702 ENRCCI , March 2014</t>
  </si>
  <si>
    <t>Flow</t>
  </si>
  <si>
    <t>Velocity</t>
  </si>
  <si>
    <t>MGD</t>
  </si>
  <si>
    <t>GPM</t>
  </si>
  <si>
    <t>(ft/sec)</t>
  </si>
  <si>
    <t>Design considerations</t>
  </si>
  <si>
    <t>Default land use is 1: Rural if no value entered.</t>
  </si>
  <si>
    <t>For diameter &gt; 42", values inserted below</t>
  </si>
  <si>
    <t>4. Estimating Reclaimed Water Capital Costs, SWFWMD, 2014</t>
  </si>
  <si>
    <t>SWFWMD, 2014</t>
  </si>
  <si>
    <t>For Diameters &gt; 42", insert costs in bottom rows</t>
  </si>
  <si>
    <t>For Well diameters &lt;10" or &lt;100' deep, insert cost below:</t>
  </si>
  <si>
    <t>&lt; 10" diameter or &lt; 100' deep</t>
  </si>
  <si>
    <t>For Well diameters &lt;10" or &lt;100' deep, insert known cost below:</t>
  </si>
  <si>
    <t>Known cost</t>
  </si>
  <si>
    <t>Project Name</t>
  </si>
  <si>
    <r>
      <t>Diameter</t>
    </r>
    <r>
      <rPr>
        <u/>
        <sz val="12"/>
        <rFont val="Arial"/>
        <family val="2"/>
      </rPr>
      <t xml:space="preserve"> &gt;</t>
    </r>
    <r>
      <rPr>
        <sz val="12"/>
        <rFont val="Arial"/>
        <family val="2"/>
      </rPr>
      <t xml:space="preserve"> 2 inches; Depth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50 feet</t>
    </r>
  </si>
  <si>
    <t xml:space="preserve">Date of Construction / Bid cost </t>
  </si>
  <si>
    <t xml:space="preserve">(MM/YYYY): </t>
  </si>
  <si>
    <t>2.12 Storage Ponds &amp; Reservoirs</t>
  </si>
  <si>
    <t>Notes:</t>
  </si>
  <si>
    <t>To calculate costs for wells with diameters &gt;10" or &gt;100' deep, insert values below.</t>
  </si>
  <si>
    <t xml:space="preserve">For wells with diameters &gt;10" </t>
  </si>
  <si>
    <t>For wells  &gt;100' deep</t>
  </si>
  <si>
    <t xml:space="preserve">Qadf = </t>
  </si>
  <si>
    <t>* V</t>
  </si>
  <si>
    <t>FY2018 Federal Water Resource Planning Discount Rate</t>
  </si>
  <si>
    <t>https://www.sjrwmd.com/documents/technical-reports/special-publications/2015-2009/</t>
  </si>
  <si>
    <t>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</si>
</sst>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"/>
    <numFmt numFmtId="166" formatCode="0.000"/>
    <numFmt numFmtId="167" formatCode="0.00000"/>
    <numFmt numFmtId="168" formatCode="&quot;$&quot;#,##0.000_);\(&quot;$&quot;#,##0.000\)"/>
    <numFmt numFmtId="169" formatCode="&quot;$&quot;#,##0.000"/>
    <numFmt numFmtId="170" formatCode="0.0"/>
    <numFmt numFmtId="171" formatCode="&quot;$&quot;#,##0.00"/>
    <numFmt numFmtId="172" formatCode="_(&quot;$&quot;* #,##0.000_);_(&quot;$&quot;* \(#,##0.000\);_(&quot;$&quot;* &quot;-&quot;???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_);_(* \(#,##0.000\);_(* &quot;-&quot;???_);_(@_)"/>
    <numFmt numFmtId="176" formatCode="[$-409]mmm\-yy;@"/>
    <numFmt numFmtId="177" formatCode="#,##0.0"/>
    <numFmt numFmtId="178" formatCode="#,##0.0_);\(#,##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color rgb="FF1F497D"/>
      <name val="Calibri"/>
      <family val="2"/>
      <scheme val="minor"/>
    </font>
    <font>
      <sz val="12"/>
      <color indexed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165" fontId="2" fillId="0" borderId="0" xfId="0" applyNumberFormat="1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9" fontId="3" fillId="0" borderId="0" xfId="0" applyNumberFormat="1" applyFont="1"/>
    <xf numFmtId="0" fontId="9" fillId="0" borderId="0" xfId="2" applyAlignment="1" applyProtection="1"/>
    <xf numFmtId="0" fontId="10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70" fontId="2" fillId="0" borderId="0" xfId="0" applyNumberFormat="1" applyFont="1"/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6" xfId="0" applyFont="1" applyBorder="1"/>
    <xf numFmtId="0" fontId="4" fillId="0" borderId="0" xfId="0" applyNumberFormat="1" applyFont="1" applyBorder="1"/>
    <xf numFmtId="168" fontId="4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168" fontId="6" fillId="0" borderId="0" xfId="1" applyNumberFormat="1" applyFont="1" applyBorder="1" applyAlignment="1">
      <alignment horizontal="right"/>
    </xf>
    <xf numFmtId="0" fontId="2" fillId="0" borderId="0" xfId="0" applyFont="1" applyAlignment="1"/>
    <xf numFmtId="42" fontId="2" fillId="0" borderId="0" xfId="0" applyNumberFormat="1" applyFont="1"/>
    <xf numFmtId="0" fontId="6" fillId="0" borderId="0" xfId="0" applyNumberFormat="1" applyFont="1" applyBorder="1" applyAlignment="1">
      <alignment horizontal="center"/>
    </xf>
    <xf numFmtId="171" fontId="2" fillId="0" borderId="0" xfId="0" applyNumberFormat="1" applyFont="1"/>
    <xf numFmtId="0" fontId="11" fillId="0" borderId="0" xfId="0" applyFont="1"/>
    <xf numFmtId="0" fontId="12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/>
    <xf numFmtId="173" fontId="0" fillId="0" borderId="0" xfId="3" applyNumberFormat="1" applyFont="1" applyAlignment="1">
      <alignment horizontal="center"/>
    </xf>
    <xf numFmtId="173" fontId="0" fillId="0" borderId="0" xfId="3" applyNumberFormat="1" applyFont="1"/>
    <xf numFmtId="174" fontId="0" fillId="0" borderId="0" xfId="1" applyNumberFormat="1" applyFont="1"/>
    <xf numFmtId="0" fontId="5" fillId="0" borderId="9" xfId="0" applyFont="1" applyBorder="1"/>
    <xf numFmtId="0" fontId="5" fillId="0" borderId="0" xfId="0" applyFont="1" applyBorder="1"/>
    <xf numFmtId="165" fontId="2" fillId="0" borderId="6" xfId="0" applyNumberFormat="1" applyFont="1" applyBorder="1"/>
    <xf numFmtId="169" fontId="3" fillId="0" borderId="6" xfId="0" applyNumberFormat="1" applyFont="1" applyBorder="1"/>
    <xf numFmtId="169" fontId="2" fillId="0" borderId="6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/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6" xfId="0" applyFont="1" applyBorder="1" applyAlignment="1">
      <alignment horizontal="center" wrapText="1"/>
    </xf>
    <xf numFmtId="42" fontId="16" fillId="0" borderId="2" xfId="0" applyNumberFormat="1" applyFont="1" applyBorder="1" applyProtection="1">
      <protection locked="0"/>
    </xf>
    <xf numFmtId="41" fontId="11" fillId="0" borderId="0" xfId="0" applyNumberFormat="1" applyFont="1"/>
    <xf numFmtId="41" fontId="16" fillId="0" borderId="2" xfId="0" applyNumberFormat="1" applyFont="1" applyBorder="1" applyProtection="1">
      <protection locked="0"/>
    </xf>
    <xf numFmtId="41" fontId="11" fillId="0" borderId="0" xfId="0" applyNumberFormat="1" applyFont="1" applyBorder="1" applyProtection="1"/>
    <xf numFmtId="175" fontId="12" fillId="0" borderId="0" xfId="0" applyNumberFormat="1" applyFont="1"/>
    <xf numFmtId="170" fontId="11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4" fillId="0" borderId="6" xfId="0" applyNumberFormat="1" applyFont="1" applyBorder="1" applyAlignment="1">
      <alignment horizontal="center" wrapText="1"/>
    </xf>
    <xf numFmtId="1" fontId="14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NumberFormat="1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/>
    <xf numFmtId="165" fontId="2" fillId="0" borderId="8" xfId="0" applyNumberFormat="1" applyFont="1" applyBorder="1"/>
    <xf numFmtId="165" fontId="2" fillId="0" borderId="11" xfId="0" applyNumberFormat="1" applyFont="1" applyBorder="1"/>
    <xf numFmtId="0" fontId="7" fillId="0" borderId="2" xfId="0" applyFont="1" applyBorder="1" applyProtection="1">
      <protection locked="0"/>
    </xf>
    <xf numFmtId="42" fontId="2" fillId="0" borderId="10" xfId="1" applyNumberFormat="1" applyFont="1" applyFill="1" applyBorder="1"/>
    <xf numFmtId="0" fontId="3" fillId="0" borderId="12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2" fillId="0" borderId="0" xfId="1" applyNumberFormat="1" applyFont="1" applyFill="1" applyBorder="1"/>
    <xf numFmtId="42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42" fontId="6" fillId="0" borderId="0" xfId="1" applyNumberFormat="1" applyFont="1" applyBorder="1"/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2" fontId="2" fillId="0" borderId="18" xfId="1" applyNumberFormat="1" applyFont="1" applyFill="1" applyBorder="1"/>
    <xf numFmtId="0" fontId="4" fillId="0" borderId="16" xfId="0" applyFont="1" applyBorder="1" applyAlignment="1" applyProtection="1">
      <alignment horizontal="left"/>
      <protection locked="0"/>
    </xf>
    <xf numFmtId="42" fontId="3" fillId="0" borderId="12" xfId="0" applyNumberFormat="1" applyFont="1" applyBorder="1"/>
    <xf numFmtId="42" fontId="6" fillId="0" borderId="19" xfId="1" applyNumberFormat="1" applyFont="1" applyBorder="1"/>
    <xf numFmtId="42" fontId="6" fillId="0" borderId="20" xfId="1" applyNumberFormat="1" applyFont="1" applyBorder="1"/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42" fontId="6" fillId="0" borderId="22" xfId="1" applyNumberFormat="1" applyFont="1" applyBorder="1"/>
    <xf numFmtId="0" fontId="6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 wrapText="1"/>
    </xf>
    <xf numFmtId="177" fontId="3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left"/>
    </xf>
    <xf numFmtId="42" fontId="17" fillId="0" borderId="15" xfId="1" applyNumberFormat="1" applyFont="1" applyFill="1" applyBorder="1" applyProtection="1">
      <protection locked="0"/>
    </xf>
    <xf numFmtId="42" fontId="17" fillId="0" borderId="2" xfId="1" applyNumberFormat="1" applyFont="1" applyFill="1" applyBorder="1" applyProtection="1">
      <protection locked="0"/>
    </xf>
    <xf numFmtId="0" fontId="5" fillId="0" borderId="9" xfId="0" applyFont="1" applyBorder="1" applyProtection="1"/>
    <xf numFmtId="0" fontId="7" fillId="0" borderId="2" xfId="0" applyNumberFormat="1" applyFont="1" applyBorder="1" applyProtection="1">
      <protection locked="0"/>
    </xf>
    <xf numFmtId="0" fontId="2" fillId="0" borderId="0" xfId="0" applyFont="1" applyAlignment="1"/>
    <xf numFmtId="0" fontId="2" fillId="4" borderId="0" xfId="0" applyFont="1" applyFill="1"/>
    <xf numFmtId="42" fontId="5" fillId="0" borderId="1" xfId="0" applyNumberFormat="1" applyFont="1" applyBorder="1" applyProtection="1">
      <protection locked="0"/>
    </xf>
    <xf numFmtId="0" fontId="2" fillId="4" borderId="0" xfId="0" applyFont="1" applyFill="1" applyAlignment="1">
      <alignment horizontal="right"/>
    </xf>
    <xf numFmtId="165" fontId="2" fillId="0" borderId="34" xfId="0" applyNumberFormat="1" applyFont="1" applyBorder="1"/>
    <xf numFmtId="0" fontId="19" fillId="0" borderId="0" xfId="0" applyFont="1"/>
    <xf numFmtId="170" fontId="16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/>
    <xf numFmtId="1" fontId="14" fillId="0" borderId="0" xfId="0" applyNumberFormat="1" applyFont="1" applyBorder="1" applyAlignment="1"/>
    <xf numFmtId="170" fontId="20" fillId="0" borderId="1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horizontal="right"/>
    </xf>
    <xf numFmtId="42" fontId="14" fillId="0" borderId="0" xfId="0" applyNumberFormat="1" applyFont="1"/>
    <xf numFmtId="0" fontId="14" fillId="0" borderId="0" xfId="0" applyFont="1" applyBorder="1" applyAlignment="1"/>
    <xf numFmtId="164" fontId="14" fillId="0" borderId="0" xfId="0" applyNumberFormat="1" applyFont="1"/>
    <xf numFmtId="0" fontId="14" fillId="0" borderId="0" xfId="0" applyFont="1" applyAlignment="1">
      <alignment horizontal="centerContinuous"/>
    </xf>
    <xf numFmtId="0" fontId="14" fillId="0" borderId="0" xfId="0" applyFont="1" applyAlignment="1"/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72" fontId="14" fillId="0" borderId="0" xfId="0" applyNumberFormat="1" applyFont="1"/>
    <xf numFmtId="0" fontId="18" fillId="3" borderId="0" xfId="0" applyFont="1" applyFill="1"/>
    <xf numFmtId="0" fontId="14" fillId="2" borderId="0" xfId="0" applyFont="1" applyFill="1"/>
    <xf numFmtId="0" fontId="18" fillId="0" borderId="6" xfId="0" applyFont="1" applyBorder="1" applyAlignment="1" applyProtection="1">
      <alignment horizontal="center"/>
    </xf>
    <xf numFmtId="0" fontId="14" fillId="0" borderId="6" xfId="0" applyFont="1" applyBorder="1"/>
    <xf numFmtId="1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/>
    <xf numFmtId="170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2" fontId="18" fillId="0" borderId="6" xfId="0" applyNumberFormat="1" applyFont="1" applyBorder="1" applyAlignment="1" applyProtection="1">
      <alignment horizontal="center"/>
    </xf>
    <xf numFmtId="1" fontId="18" fillId="0" borderId="6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/>
    <xf numFmtId="49" fontId="18" fillId="0" borderId="0" xfId="0" applyNumberFormat="1" applyFont="1" applyBorder="1" applyAlignment="1" applyProtection="1"/>
    <xf numFmtId="42" fontId="14" fillId="0" borderId="6" xfId="0" applyNumberFormat="1" applyFont="1" applyBorder="1" applyProtection="1"/>
    <xf numFmtId="178" fontId="14" fillId="0" borderId="6" xfId="0" applyNumberFormat="1" applyFont="1" applyBorder="1" applyProtection="1"/>
    <xf numFmtId="41" fontId="14" fillId="0" borderId="0" xfId="0" applyNumberFormat="1" applyFont="1"/>
    <xf numFmtId="37" fontId="14" fillId="0" borderId="6" xfId="0" applyNumberFormat="1" applyFont="1" applyBorder="1" applyProtection="1"/>
    <xf numFmtId="41" fontId="14" fillId="0" borderId="0" xfId="0" applyNumberFormat="1" applyFont="1" applyBorder="1" applyProtection="1"/>
    <xf numFmtId="175" fontId="18" fillId="0" borderId="0" xfId="0" applyNumberFormat="1" applyFont="1"/>
    <xf numFmtId="170" fontId="14" fillId="0" borderId="6" xfId="0" applyNumberFormat="1" applyFont="1" applyBorder="1"/>
    <xf numFmtId="176" fontId="14" fillId="0" borderId="6" xfId="0" applyNumberFormat="1" applyFont="1" applyBorder="1"/>
    <xf numFmtId="0" fontId="14" fillId="0" borderId="0" xfId="0" applyFont="1" applyFill="1"/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/>
    <xf numFmtId="165" fontId="2" fillId="0" borderId="0" xfId="0" applyNumberFormat="1" applyFont="1" applyProtection="1"/>
    <xf numFmtId="1" fontId="4" fillId="0" borderId="0" xfId="0" applyNumberFormat="1" applyFont="1" applyBorder="1"/>
    <xf numFmtId="176" fontId="4" fillId="0" borderId="0" xfId="0" applyNumberFormat="1" applyFont="1" applyBorder="1"/>
    <xf numFmtId="166" fontId="4" fillId="0" borderId="0" xfId="0" applyNumberFormat="1" applyFont="1" applyBorder="1"/>
    <xf numFmtId="0" fontId="5" fillId="0" borderId="13" xfId="0" applyFont="1" applyBorder="1" applyProtection="1"/>
    <xf numFmtId="176" fontId="14" fillId="0" borderId="0" xfId="0" applyNumberFormat="1" applyFont="1" applyBorder="1" applyAlignment="1"/>
    <xf numFmtId="41" fontId="11" fillId="0" borderId="0" xfId="0" quotePrefix="1" applyNumberFormat="1" applyFont="1"/>
    <xf numFmtId="0" fontId="0" fillId="0" borderId="0" xfId="0" quotePrefix="1"/>
    <xf numFmtId="0" fontId="18" fillId="0" borderId="6" xfId="0" applyNumberFormat="1" applyFont="1" applyBorder="1" applyAlignment="1" applyProtection="1">
      <alignment horizontal="center"/>
    </xf>
    <xf numFmtId="169" fontId="2" fillId="0" borderId="0" xfId="0" applyNumberFormat="1" applyFont="1"/>
    <xf numFmtId="0" fontId="17" fillId="0" borderId="1" xfId="0" applyNumberFormat="1" applyFont="1" applyBorder="1" applyProtection="1">
      <protection locked="0"/>
    </xf>
    <xf numFmtId="0" fontId="3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76" fontId="16" fillId="0" borderId="2" xfId="0" applyNumberFormat="1" applyFont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/>
    <xf numFmtId="0" fontId="2" fillId="0" borderId="33" xfId="0" applyFont="1" applyBorder="1" applyAlignment="1"/>
    <xf numFmtId="0" fontId="2" fillId="0" borderId="23" xfId="0" applyFont="1" applyBorder="1" applyAlignment="1">
      <alignment horizontal="center" wrapText="1"/>
    </xf>
    <xf numFmtId="0" fontId="2" fillId="0" borderId="29" xfId="0" applyFont="1" applyBorder="1" applyAlignment="1"/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/>
    <xf numFmtId="0" fontId="0" fillId="0" borderId="26" xfId="0" applyBorder="1" applyAlignment="1"/>
    <xf numFmtId="0" fontId="2" fillId="0" borderId="0" xfId="0" applyFont="1" applyAlignment="1"/>
    <xf numFmtId="49" fontId="13" fillId="0" borderId="3" xfId="0" applyNumberFormat="1" applyFont="1" applyBorder="1" applyAlignment="1" applyProtection="1">
      <protection locked="0"/>
    </xf>
    <xf numFmtId="49" fontId="13" fillId="0" borderId="4" xfId="0" applyNumberFormat="1" applyFont="1" applyBorder="1" applyAlignment="1" applyProtection="1">
      <protection locked="0"/>
    </xf>
    <xf numFmtId="49" fontId="13" fillId="0" borderId="7" xfId="0" applyNumberFormat="1" applyFont="1" applyBorder="1" applyAlignment="1" applyProtection="1"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jrwmd.com/documents/technical-reports/special-publications/2015-2009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tabSelected="1" zoomScaleNormal="100" workbookViewId="0">
      <pane ySplit="13" topLeftCell="A20" activePane="bottomLeft" state="frozen"/>
      <selection pane="bottomLeft" activeCell="B2" sqref="B2:J2"/>
    </sheetView>
  </sheetViews>
  <sheetFormatPr defaultColWidth="8.88671875" defaultRowHeight="15" x14ac:dyDescent="0.25"/>
  <cols>
    <col min="1" max="1" width="22.33203125" style="61" customWidth="1"/>
    <col min="2" max="2" width="63.33203125" style="61" customWidth="1"/>
    <col min="3" max="3" width="31.33203125" style="61" customWidth="1"/>
    <col min="4" max="4" width="6.88671875" style="61" customWidth="1"/>
    <col min="5" max="5" width="10.6640625" style="61" customWidth="1"/>
    <col min="6" max="6" width="16.33203125" style="61" customWidth="1"/>
    <col min="7" max="7" width="16.44140625" style="154" customWidth="1"/>
    <col min="8" max="8" width="12.5546875" style="61" customWidth="1"/>
    <col min="9" max="9" width="14.6640625" style="155" customWidth="1"/>
    <col min="10" max="10" width="14.33203125" style="61" customWidth="1"/>
    <col min="11" max="11" width="10.88671875" style="61" customWidth="1"/>
    <col min="12" max="12" width="8.88671875" style="61"/>
    <col min="13" max="13" width="13.44140625" style="61" customWidth="1"/>
    <col min="14" max="14" width="9.88671875" style="61" customWidth="1"/>
    <col min="15" max="15" width="10.5546875" style="61" customWidth="1"/>
    <col min="16" max="16" width="11.6640625" style="61" customWidth="1"/>
    <col min="17" max="17" width="11" style="61" customWidth="1"/>
    <col min="18" max="16384" width="8.88671875" style="61"/>
  </cols>
  <sheetData>
    <row r="1" spans="1:17" ht="6" customHeight="1" x14ac:dyDescent="0.25"/>
    <row r="2" spans="1:17" ht="29.4" customHeight="1" x14ac:dyDescent="0.25">
      <c r="A2" s="156" t="s">
        <v>90</v>
      </c>
      <c r="B2" s="224"/>
      <c r="C2" s="225"/>
      <c r="D2" s="225"/>
      <c r="E2" s="225"/>
      <c r="F2" s="225"/>
      <c r="G2" s="225"/>
      <c r="H2" s="225"/>
      <c r="I2" s="225"/>
      <c r="J2" s="226"/>
    </row>
    <row r="3" spans="1:17" ht="15.6" x14ac:dyDescent="0.3">
      <c r="A3" s="157" t="s">
        <v>91</v>
      </c>
      <c r="B3" s="158" t="s">
        <v>12</v>
      </c>
      <c r="C3" s="159">
        <f t="shared" ref="C3:C10" si="0">C16+C26+C36+C46+C56+C113+C123+C135+C145+C155+C165+C175+C185+C195+C205+C215+C225+C235+C245+C256+C266+C276+C286+C296+C306</f>
        <v>0</v>
      </c>
      <c r="E3" s="160"/>
      <c r="F3" s="61" t="s">
        <v>1</v>
      </c>
      <c r="G3" s="77">
        <v>10971.87</v>
      </c>
      <c r="H3" s="61" t="s">
        <v>2</v>
      </c>
      <c r="I3" s="161">
        <v>43191</v>
      </c>
      <c r="J3" s="160"/>
      <c r="O3" s="62" t="s">
        <v>17</v>
      </c>
      <c r="P3" s="162"/>
      <c r="Q3" s="162"/>
    </row>
    <row r="4" spans="1:17" x14ac:dyDescent="0.25">
      <c r="A4" s="61" t="s">
        <v>183</v>
      </c>
      <c r="B4" s="158" t="s">
        <v>11</v>
      </c>
      <c r="C4" s="159">
        <f t="shared" si="0"/>
        <v>0</v>
      </c>
      <c r="E4" s="160"/>
      <c r="F4" s="163" t="s">
        <v>3</v>
      </c>
      <c r="G4" s="206">
        <v>2.75</v>
      </c>
      <c r="H4" s="163" t="s">
        <v>6</v>
      </c>
      <c r="I4" s="163" t="s">
        <v>189</v>
      </c>
      <c r="J4" s="160"/>
      <c r="N4" s="60"/>
    </row>
    <row r="5" spans="1:17" x14ac:dyDescent="0.25">
      <c r="A5" s="200"/>
      <c r="B5" s="158" t="s">
        <v>110</v>
      </c>
      <c r="C5" s="159">
        <f t="shared" si="0"/>
        <v>0</v>
      </c>
      <c r="E5" s="160"/>
      <c r="F5" s="160"/>
      <c r="G5" s="164"/>
      <c r="H5" s="160"/>
      <c r="I5" s="165"/>
      <c r="J5" s="160"/>
      <c r="N5" s="60"/>
      <c r="O5" s="61" t="s">
        <v>18</v>
      </c>
      <c r="Q5" s="166">
        <f>G4</f>
        <v>2.75</v>
      </c>
    </row>
    <row r="6" spans="1:17" x14ac:dyDescent="0.25">
      <c r="A6" s="201"/>
      <c r="B6" s="158" t="s">
        <v>20</v>
      </c>
      <c r="C6" s="159">
        <f t="shared" si="0"/>
        <v>0</v>
      </c>
      <c r="E6" s="160"/>
      <c r="F6" s="160"/>
      <c r="G6" s="164"/>
      <c r="H6" s="160"/>
      <c r="N6" s="60"/>
      <c r="O6" s="61">
        <v>5</v>
      </c>
      <c r="P6" s="61" t="s">
        <v>27</v>
      </c>
      <c r="Q6" s="167">
        <f>(($G$4/100)*(1+($G$4/100))^5)/((1+($G$4/100))^5-1)</f>
        <v>0.21679832021298559</v>
      </c>
    </row>
    <row r="7" spans="1:17" x14ac:dyDescent="0.25">
      <c r="A7" s="201"/>
      <c r="B7" s="158" t="s">
        <v>21</v>
      </c>
      <c r="C7" s="159">
        <f t="shared" si="0"/>
        <v>0</v>
      </c>
      <c r="D7" s="61" t="s">
        <v>24</v>
      </c>
      <c r="E7" s="160"/>
      <c r="F7" s="160"/>
      <c r="G7" s="164"/>
      <c r="H7" s="160"/>
      <c r="N7" s="60"/>
      <c r="O7" s="61">
        <v>20</v>
      </c>
      <c r="P7" s="61" t="s">
        <v>27</v>
      </c>
      <c r="Q7" s="167">
        <f>(($G$4/100)*(1+($G$4/100))^20)/((1+($G$4/100))^20-1)</f>
        <v>6.5671730606068887E-2</v>
      </c>
    </row>
    <row r="8" spans="1:17" x14ac:dyDescent="0.25">
      <c r="A8" s="201"/>
      <c r="B8" s="158" t="s">
        <v>22</v>
      </c>
      <c r="C8" s="159">
        <f t="shared" si="0"/>
        <v>0</v>
      </c>
      <c r="D8" s="61" t="s">
        <v>24</v>
      </c>
      <c r="E8" s="160"/>
      <c r="F8" s="160"/>
      <c r="G8" s="164"/>
      <c r="H8" s="160"/>
      <c r="N8" s="60"/>
      <c r="O8" s="61">
        <v>30</v>
      </c>
      <c r="P8" s="61" t="s">
        <v>27</v>
      </c>
      <c r="Q8" s="167">
        <f>(($G$4/100)*(1+($G$4/100))^30)/((1+($G$4/100))^30-1)</f>
        <v>4.9384420002573814E-2</v>
      </c>
    </row>
    <row r="9" spans="1:17" x14ac:dyDescent="0.25">
      <c r="A9" s="201"/>
      <c r="B9" s="158" t="s">
        <v>30</v>
      </c>
      <c r="C9" s="159">
        <f t="shared" si="0"/>
        <v>0</v>
      </c>
      <c r="D9" s="61" t="s">
        <v>24</v>
      </c>
      <c r="E9" s="160"/>
      <c r="F9" s="160"/>
      <c r="G9" s="164"/>
      <c r="H9" s="160"/>
      <c r="N9" s="60"/>
      <c r="O9" s="61">
        <v>35</v>
      </c>
      <c r="P9" s="61" t="s">
        <v>27</v>
      </c>
      <c r="Q9" s="167">
        <f>(($G$4/100)*(1+($G$4/100))^35)/((1+($G$4/100))^35-1)</f>
        <v>4.4856445386798144E-2</v>
      </c>
    </row>
    <row r="10" spans="1:17" ht="15.6" x14ac:dyDescent="0.3">
      <c r="A10" s="202"/>
      <c r="B10" s="168" t="s">
        <v>23</v>
      </c>
      <c r="C10" s="169">
        <f t="shared" si="0"/>
        <v>0</v>
      </c>
      <c r="D10" s="157" t="s">
        <v>25</v>
      </c>
      <c r="E10" s="160"/>
      <c r="F10" s="160"/>
      <c r="G10" s="164"/>
      <c r="H10" s="160"/>
      <c r="N10" s="60"/>
      <c r="O10" s="61">
        <v>40</v>
      </c>
      <c r="P10" s="61" t="s">
        <v>27</v>
      </c>
      <c r="Q10" s="167">
        <f>(($G$4/100)*(1+($G$4/100))^40)/((1+($G$4/100))^40-1)</f>
        <v>4.1531514362620113E-2</v>
      </c>
    </row>
    <row r="11" spans="1:17" x14ac:dyDescent="0.25">
      <c r="O11" s="61" t="s">
        <v>19</v>
      </c>
      <c r="Q11" s="167">
        <f>$G$4/100</f>
        <v>2.75E-2</v>
      </c>
    </row>
    <row r="12" spans="1:17" x14ac:dyDescent="0.25">
      <c r="A12" s="61" t="s">
        <v>153</v>
      </c>
    </row>
    <row r="14" spans="1:17" ht="15.6" x14ac:dyDescent="0.3">
      <c r="A14" s="170" t="s">
        <v>92</v>
      </c>
    </row>
    <row r="15" spans="1:17" ht="15.6" x14ac:dyDescent="0.3">
      <c r="B15" s="171" t="s">
        <v>93</v>
      </c>
      <c r="C15" s="61" t="s">
        <v>44</v>
      </c>
      <c r="D15" s="172">
        <f>'1.1.4 Deep Bed Filters'!B8</f>
        <v>0</v>
      </c>
      <c r="E15" s="61" t="s">
        <v>8</v>
      </c>
      <c r="F15" s="61" t="s">
        <v>9</v>
      </c>
      <c r="G15" s="172">
        <f>'1.1.4 Deep Bed Filters'!B9</f>
        <v>1.5</v>
      </c>
    </row>
    <row r="16" spans="1:17" x14ac:dyDescent="0.25">
      <c r="B16" s="158" t="s">
        <v>12</v>
      </c>
      <c r="C16" s="159">
        <f>'1.1.4 Deep Bed Filters'!C13</f>
        <v>0</v>
      </c>
      <c r="F16" s="61" t="s">
        <v>26</v>
      </c>
      <c r="G16" s="154">
        <f>'1.1.4 Deep Bed Filters'!B10</f>
        <v>0</v>
      </c>
      <c r="H16" s="61" t="s">
        <v>8</v>
      </c>
    </row>
    <row r="17" spans="2:8" x14ac:dyDescent="0.25">
      <c r="B17" s="158" t="s">
        <v>11</v>
      </c>
      <c r="C17" s="159">
        <f>'1.1.4 Deep Bed Filters'!C14</f>
        <v>0</v>
      </c>
    </row>
    <row r="18" spans="2:8" x14ac:dyDescent="0.25">
      <c r="B18" s="158" t="s">
        <v>110</v>
      </c>
      <c r="C18" s="159">
        <f>'1.1.4 Deep Bed Filters'!C15</f>
        <v>0</v>
      </c>
    </row>
    <row r="19" spans="2:8" x14ac:dyDescent="0.25">
      <c r="B19" s="158" t="s">
        <v>20</v>
      </c>
      <c r="C19" s="159">
        <f>'1.1.4 Deep Bed Filters'!C16</f>
        <v>0</v>
      </c>
    </row>
    <row r="20" spans="2:8" x14ac:dyDescent="0.25">
      <c r="B20" s="158" t="s">
        <v>21</v>
      </c>
      <c r="C20" s="159">
        <f>'1.1.4 Deep Bed Filters'!C17</f>
        <v>0</v>
      </c>
      <c r="D20" s="61" t="s">
        <v>24</v>
      </c>
    </row>
    <row r="21" spans="2:8" x14ac:dyDescent="0.25">
      <c r="B21" s="158" t="s">
        <v>22</v>
      </c>
      <c r="C21" s="159">
        <f>'1.1.4 Deep Bed Filters'!C18</f>
        <v>0</v>
      </c>
      <c r="D21" s="61" t="s">
        <v>24</v>
      </c>
    </row>
    <row r="22" spans="2:8" x14ac:dyDescent="0.25">
      <c r="B22" s="158" t="s">
        <v>30</v>
      </c>
      <c r="C22" s="159">
        <f>'1.1.4 Deep Bed Filters'!C19</f>
        <v>0</v>
      </c>
      <c r="D22" s="61" t="s">
        <v>24</v>
      </c>
    </row>
    <row r="23" spans="2:8" ht="15.6" x14ac:dyDescent="0.3">
      <c r="B23" s="168" t="s">
        <v>23</v>
      </c>
      <c r="C23" s="169">
        <f>'1.1.4 Deep Bed Filters'!C20</f>
        <v>0</v>
      </c>
      <c r="D23" s="157" t="s">
        <v>25</v>
      </c>
    </row>
    <row r="25" spans="2:8" ht="15.6" x14ac:dyDescent="0.3">
      <c r="B25" s="171" t="s">
        <v>94</v>
      </c>
      <c r="C25" s="61" t="s">
        <v>44</v>
      </c>
      <c r="D25" s="172">
        <f>'1.1.10 Chlorine Disinf Syst'!B8</f>
        <v>0</v>
      </c>
      <c r="E25" s="61" t="s">
        <v>8</v>
      </c>
      <c r="F25" s="61" t="s">
        <v>9</v>
      </c>
      <c r="G25" s="172">
        <f>'1.1.10 Chlorine Disinf Syst'!B9</f>
        <v>1.5</v>
      </c>
    </row>
    <row r="26" spans="2:8" x14ac:dyDescent="0.25">
      <c r="B26" s="158" t="s">
        <v>12</v>
      </c>
      <c r="C26" s="159">
        <f>'1.1.10 Chlorine Disinf Syst'!C13</f>
        <v>0</v>
      </c>
      <c r="F26" s="61" t="s">
        <v>26</v>
      </c>
      <c r="G26" s="154">
        <f>'1.1.10 Chlorine Disinf Syst'!B10</f>
        <v>0</v>
      </c>
      <c r="H26" s="61" t="s">
        <v>8</v>
      </c>
    </row>
    <row r="27" spans="2:8" x14ac:dyDescent="0.25">
      <c r="B27" s="158" t="s">
        <v>11</v>
      </c>
      <c r="C27" s="159">
        <f>'1.1.10 Chlorine Disinf Syst'!C14</f>
        <v>0</v>
      </c>
    </row>
    <row r="28" spans="2:8" x14ac:dyDescent="0.25">
      <c r="B28" s="158" t="s">
        <v>110</v>
      </c>
      <c r="C28" s="159">
        <f>'1.1.10 Chlorine Disinf Syst'!C15</f>
        <v>0</v>
      </c>
    </row>
    <row r="29" spans="2:8" x14ac:dyDescent="0.25">
      <c r="B29" s="158" t="s">
        <v>20</v>
      </c>
      <c r="C29" s="159">
        <f>'1.1.10 Chlorine Disinf Syst'!C16</f>
        <v>0</v>
      </c>
    </row>
    <row r="30" spans="2:8" x14ac:dyDescent="0.25">
      <c r="B30" s="158" t="s">
        <v>21</v>
      </c>
      <c r="C30" s="159">
        <f>'1.1.10 Chlorine Disinf Syst'!C17</f>
        <v>0</v>
      </c>
      <c r="D30" s="61" t="s">
        <v>24</v>
      </c>
    </row>
    <row r="31" spans="2:8" x14ac:dyDescent="0.25">
      <c r="B31" s="158" t="s">
        <v>22</v>
      </c>
      <c r="C31" s="159">
        <f>'1.1.10 Chlorine Disinf Syst'!C18</f>
        <v>0</v>
      </c>
      <c r="D31" s="61" t="s">
        <v>24</v>
      </c>
    </row>
    <row r="32" spans="2:8" x14ac:dyDescent="0.25">
      <c r="B32" s="158" t="s">
        <v>30</v>
      </c>
      <c r="C32" s="159">
        <f>'1.1.10 Chlorine Disinf Syst'!C19</f>
        <v>0</v>
      </c>
      <c r="D32" s="61" t="s">
        <v>24</v>
      </c>
    </row>
    <row r="33" spans="2:8" ht="15.6" x14ac:dyDescent="0.3">
      <c r="B33" s="168" t="s">
        <v>23</v>
      </c>
      <c r="C33" s="169">
        <f>'1.1.10 Chlorine Disinf Syst'!C20</f>
        <v>0</v>
      </c>
      <c r="D33" s="157" t="s">
        <v>25</v>
      </c>
    </row>
    <row r="35" spans="2:8" ht="15.6" x14ac:dyDescent="0.3">
      <c r="B35" s="171" t="s">
        <v>154</v>
      </c>
      <c r="C35" s="61" t="s">
        <v>44</v>
      </c>
      <c r="D35" s="172">
        <f>'1.1.15 Trans Pumping Sys(RC Bs)'!B8</f>
        <v>0</v>
      </c>
      <c r="E35" s="61" t="s">
        <v>8</v>
      </c>
      <c r="F35" s="61" t="s">
        <v>9</v>
      </c>
      <c r="G35" s="172">
        <f>'1.1.15 Trans Pumping Sys(RC Bs)'!B9</f>
        <v>2</v>
      </c>
    </row>
    <row r="36" spans="2:8" x14ac:dyDescent="0.25">
      <c r="B36" s="158" t="s">
        <v>12</v>
      </c>
      <c r="C36" s="159">
        <f>'1.1.15 Trans Pumping Sys(RC Bs)'!C13</f>
        <v>0</v>
      </c>
      <c r="F36" s="61" t="s">
        <v>26</v>
      </c>
      <c r="G36" s="154">
        <f>'1.1.15 Trans Pumping Sys(RC Bs)'!B10</f>
        <v>0</v>
      </c>
      <c r="H36" s="61" t="s">
        <v>8</v>
      </c>
    </row>
    <row r="37" spans="2:8" x14ac:dyDescent="0.25">
      <c r="B37" s="158" t="s">
        <v>11</v>
      </c>
      <c r="C37" s="159">
        <f>'1.1.15 Trans Pumping Sys(RC Bs)'!C14</f>
        <v>0</v>
      </c>
    </row>
    <row r="38" spans="2:8" x14ac:dyDescent="0.25">
      <c r="B38" s="158" t="s">
        <v>110</v>
      </c>
      <c r="C38" s="159">
        <f>'1.1.15 Trans Pumping Sys(RC Bs)'!C15</f>
        <v>0</v>
      </c>
    </row>
    <row r="39" spans="2:8" x14ac:dyDescent="0.25">
      <c r="B39" s="158" t="s">
        <v>20</v>
      </c>
      <c r="C39" s="159">
        <f>'1.1.15 Trans Pumping Sys(RC Bs)'!C16</f>
        <v>0</v>
      </c>
    </row>
    <row r="40" spans="2:8" x14ac:dyDescent="0.25">
      <c r="B40" s="158" t="s">
        <v>21</v>
      </c>
      <c r="C40" s="159">
        <f>'1.1.15 Trans Pumping Sys(RC Bs)'!C17</f>
        <v>0</v>
      </c>
      <c r="D40" s="61" t="s">
        <v>24</v>
      </c>
    </row>
    <row r="41" spans="2:8" x14ac:dyDescent="0.25">
      <c r="B41" s="158" t="s">
        <v>22</v>
      </c>
      <c r="C41" s="159">
        <f>'1.1.15 Trans Pumping Sys(RC Bs)'!C18</f>
        <v>0</v>
      </c>
      <c r="D41" s="61" t="s">
        <v>24</v>
      </c>
    </row>
    <row r="42" spans="2:8" x14ac:dyDescent="0.25">
      <c r="B42" s="158" t="s">
        <v>30</v>
      </c>
      <c r="C42" s="159">
        <f>'1.1.15 Trans Pumping Sys(RC Bs)'!C19</f>
        <v>0</v>
      </c>
      <c r="D42" s="61" t="s">
        <v>24</v>
      </c>
    </row>
    <row r="43" spans="2:8" ht="15.6" x14ac:dyDescent="0.3">
      <c r="B43" s="168" t="s">
        <v>23</v>
      </c>
      <c r="C43" s="169">
        <f>'1.1.15 Trans Pumping Sys(RC Bs)'!C20</f>
        <v>0</v>
      </c>
      <c r="D43" s="157" t="s">
        <v>25</v>
      </c>
    </row>
    <row r="45" spans="2:8" ht="15.6" x14ac:dyDescent="0.3">
      <c r="B45" s="171" t="s">
        <v>95</v>
      </c>
      <c r="C45" s="61" t="s">
        <v>44</v>
      </c>
      <c r="D45" s="172">
        <f>'1.1.16 High Service Pumping Sys'!B8</f>
        <v>0</v>
      </c>
      <c r="E45" s="61" t="s">
        <v>8</v>
      </c>
      <c r="F45" s="61" t="s">
        <v>9</v>
      </c>
      <c r="G45" s="215">
        <f>'1.1.16 High Service Pumping Sys'!B9</f>
        <v>1.5</v>
      </c>
    </row>
    <row r="46" spans="2:8" x14ac:dyDescent="0.25">
      <c r="B46" s="158" t="s">
        <v>12</v>
      </c>
      <c r="C46" s="159">
        <f>'1.1.16 High Service Pumping Sys'!C13</f>
        <v>0</v>
      </c>
      <c r="F46" s="61" t="s">
        <v>26</v>
      </c>
      <c r="G46" s="154">
        <f>'1.1.16 High Service Pumping Sys'!B10</f>
        <v>0</v>
      </c>
      <c r="H46" s="61" t="s">
        <v>8</v>
      </c>
    </row>
    <row r="47" spans="2:8" x14ac:dyDescent="0.25">
      <c r="B47" s="158" t="s">
        <v>11</v>
      </c>
      <c r="C47" s="159">
        <f>'1.1.16 High Service Pumping Sys'!C14</f>
        <v>0</v>
      </c>
    </row>
    <row r="48" spans="2:8" x14ac:dyDescent="0.25">
      <c r="B48" s="158" t="s">
        <v>110</v>
      </c>
      <c r="C48" s="159">
        <f>'1.1.16 High Service Pumping Sys'!C15</f>
        <v>0</v>
      </c>
    </row>
    <row r="49" spans="2:10" x14ac:dyDescent="0.25">
      <c r="B49" s="158" t="s">
        <v>20</v>
      </c>
      <c r="C49" s="159">
        <f>'1.1.16 High Service Pumping Sys'!C16</f>
        <v>0</v>
      </c>
    </row>
    <row r="50" spans="2:10" x14ac:dyDescent="0.25">
      <c r="B50" s="158" t="s">
        <v>21</v>
      </c>
      <c r="C50" s="159">
        <f>'1.1.16 High Service Pumping Sys'!C17</f>
        <v>0</v>
      </c>
      <c r="D50" s="61" t="s">
        <v>24</v>
      </c>
    </row>
    <row r="51" spans="2:10" x14ac:dyDescent="0.25">
      <c r="B51" s="158" t="s">
        <v>22</v>
      </c>
      <c r="C51" s="159">
        <f>'1.1.16 High Service Pumping Sys'!C18</f>
        <v>0</v>
      </c>
      <c r="D51" s="61" t="s">
        <v>24</v>
      </c>
    </row>
    <row r="52" spans="2:10" x14ac:dyDescent="0.25">
      <c r="B52" s="158" t="s">
        <v>30</v>
      </c>
      <c r="C52" s="159">
        <f>'1.1.16 High Service Pumping Sys'!C19</f>
        <v>0</v>
      </c>
      <c r="D52" s="61" t="s">
        <v>24</v>
      </c>
    </row>
    <row r="53" spans="2:10" ht="15.6" x14ac:dyDescent="0.3">
      <c r="B53" s="168" t="s">
        <v>23</v>
      </c>
      <c r="C53" s="169">
        <f>'1.1.16 High Service Pumping Sys'!C20</f>
        <v>0</v>
      </c>
      <c r="D53" s="157" t="s">
        <v>25</v>
      </c>
    </row>
    <row r="55" spans="2:10" ht="15.6" x14ac:dyDescent="0.3">
      <c r="B55" s="171" t="s">
        <v>96</v>
      </c>
      <c r="C55" s="61" t="s">
        <v>44</v>
      </c>
      <c r="D55" s="172">
        <f>'1.2 Transmission pipelines'!B8</f>
        <v>0</v>
      </c>
      <c r="E55" s="61" t="s">
        <v>8</v>
      </c>
      <c r="F55" s="173"/>
      <c r="G55" s="76" t="s">
        <v>67</v>
      </c>
      <c r="H55" s="68" t="s">
        <v>68</v>
      </c>
      <c r="I55" s="68" t="s">
        <v>69</v>
      </c>
      <c r="J55" s="173" t="s">
        <v>160</v>
      </c>
    </row>
    <row r="56" spans="2:10" x14ac:dyDescent="0.25">
      <c r="B56" s="158" t="s">
        <v>12</v>
      </c>
      <c r="C56" s="159">
        <f>'1.2 Transmission pipelines'!J7</f>
        <v>0</v>
      </c>
      <c r="F56" s="173" t="s">
        <v>77</v>
      </c>
      <c r="G56" s="174">
        <v>1</v>
      </c>
      <c r="H56" s="175">
        <v>2</v>
      </c>
      <c r="I56" s="175">
        <v>3</v>
      </c>
      <c r="J56" s="175">
        <v>4</v>
      </c>
    </row>
    <row r="57" spans="2:10" x14ac:dyDescent="0.25">
      <c r="B57" s="158" t="s">
        <v>11</v>
      </c>
      <c r="C57" s="159">
        <f>'1.2 Transmission pipelines'!J8</f>
        <v>0</v>
      </c>
      <c r="F57" s="61" t="s">
        <v>109</v>
      </c>
    </row>
    <row r="58" spans="2:10" x14ac:dyDescent="0.25">
      <c r="B58" s="158" t="s">
        <v>89</v>
      </c>
      <c r="C58" s="159">
        <f>'1.2 Transmission pipelines'!J9</f>
        <v>0</v>
      </c>
      <c r="F58" s="176" t="s">
        <v>130</v>
      </c>
      <c r="G58" s="177" t="s">
        <v>74</v>
      </c>
      <c r="H58" s="178" t="s">
        <v>76</v>
      </c>
    </row>
    <row r="59" spans="2:10" ht="15.6" x14ac:dyDescent="0.3">
      <c r="B59" s="158" t="s">
        <v>20</v>
      </c>
      <c r="C59" s="159">
        <f>'1.2 Transmission pipelines'!J10</f>
        <v>0</v>
      </c>
      <c r="F59" s="172">
        <f>'1.2 Transmission pipelines'!A16</f>
        <v>0</v>
      </c>
      <c r="G59" s="172">
        <f>'1.2 Transmission pipelines'!B16</f>
        <v>0</v>
      </c>
      <c r="H59" s="172">
        <f>'1.2 Transmission pipelines'!C16</f>
        <v>0</v>
      </c>
    </row>
    <row r="60" spans="2:10" ht="15.6" x14ac:dyDescent="0.3">
      <c r="B60" s="158" t="s">
        <v>21</v>
      </c>
      <c r="C60" s="159">
        <f>'1.2 Transmission pipelines'!J11</f>
        <v>0</v>
      </c>
      <c r="D60" s="61" t="s">
        <v>24</v>
      </c>
      <c r="F60" s="172">
        <f>'1.2 Transmission pipelines'!A17</f>
        <v>0</v>
      </c>
      <c r="G60" s="172">
        <f>'1.2 Transmission pipelines'!B17</f>
        <v>0</v>
      </c>
      <c r="H60" s="172">
        <f>'1.2 Transmission pipelines'!C17</f>
        <v>0</v>
      </c>
    </row>
    <row r="61" spans="2:10" ht="15.6" x14ac:dyDescent="0.3">
      <c r="B61" s="158" t="s">
        <v>22</v>
      </c>
      <c r="C61" s="159">
        <f>'1.2 Transmission pipelines'!J12</f>
        <v>0</v>
      </c>
      <c r="D61" s="61" t="s">
        <v>61</v>
      </c>
      <c r="F61" s="172">
        <f>'1.2 Transmission pipelines'!A18</f>
        <v>0</v>
      </c>
      <c r="G61" s="172">
        <f>'1.2 Transmission pipelines'!B18</f>
        <v>0</v>
      </c>
      <c r="H61" s="172">
        <f>'1.2 Transmission pipelines'!C18</f>
        <v>0</v>
      </c>
    </row>
    <row r="62" spans="2:10" ht="15.6" x14ac:dyDescent="0.3">
      <c r="B62" s="158" t="s">
        <v>30</v>
      </c>
      <c r="C62" s="159">
        <f>'1.2 Transmission pipelines'!J13</f>
        <v>0</v>
      </c>
      <c r="D62" s="61" t="s">
        <v>24</v>
      </c>
      <c r="F62" s="172">
        <f>'1.2 Transmission pipelines'!A19</f>
        <v>0</v>
      </c>
      <c r="G62" s="172">
        <f>'1.2 Transmission pipelines'!B19</f>
        <v>0</v>
      </c>
      <c r="H62" s="172">
        <f>'1.2 Transmission pipelines'!C19</f>
        <v>0</v>
      </c>
    </row>
    <row r="63" spans="2:10" ht="15.6" x14ac:dyDescent="0.3">
      <c r="B63" s="168" t="s">
        <v>23</v>
      </c>
      <c r="C63" s="169">
        <f>'1.2 Transmission pipelines'!J14</f>
        <v>0</v>
      </c>
      <c r="D63" s="157" t="s">
        <v>25</v>
      </c>
      <c r="F63" s="172">
        <f>'1.2 Transmission pipelines'!A20</f>
        <v>0</v>
      </c>
      <c r="G63" s="172">
        <f>'1.2 Transmission pipelines'!B20</f>
        <v>0</v>
      </c>
      <c r="H63" s="172">
        <f>'1.2 Transmission pipelines'!C20</f>
        <v>0</v>
      </c>
    </row>
    <row r="64" spans="2:10" ht="15.6" x14ac:dyDescent="0.3">
      <c r="F64" s="172">
        <f>'1.2 Transmission pipelines'!A21</f>
        <v>0</v>
      </c>
      <c r="G64" s="172">
        <f>'1.2 Transmission pipelines'!B21</f>
        <v>0</v>
      </c>
      <c r="H64" s="172">
        <f>'1.2 Transmission pipelines'!C21</f>
        <v>0</v>
      </c>
    </row>
    <row r="65" spans="6:8" ht="15.6" x14ac:dyDescent="0.3">
      <c r="F65" s="172">
        <f>'1.2 Transmission pipelines'!A22</f>
        <v>0</v>
      </c>
      <c r="G65" s="172">
        <f>'1.2 Transmission pipelines'!B22</f>
        <v>0</v>
      </c>
      <c r="H65" s="172">
        <f>'1.2 Transmission pipelines'!C22</f>
        <v>0</v>
      </c>
    </row>
    <row r="66" spans="6:8" ht="15.6" x14ac:dyDescent="0.3">
      <c r="F66" s="172">
        <f>'1.2 Transmission pipelines'!A23</f>
        <v>0</v>
      </c>
      <c r="G66" s="172">
        <f>'1.2 Transmission pipelines'!B23</f>
        <v>0</v>
      </c>
      <c r="H66" s="172">
        <f>'1.2 Transmission pipelines'!C23</f>
        <v>0</v>
      </c>
    </row>
    <row r="67" spans="6:8" ht="15.6" x14ac:dyDescent="0.3">
      <c r="F67" s="172">
        <f>'1.2 Transmission pipelines'!A24</f>
        <v>0</v>
      </c>
      <c r="G67" s="172">
        <f>'1.2 Transmission pipelines'!B24</f>
        <v>0</v>
      </c>
      <c r="H67" s="172">
        <f>'1.2 Transmission pipelines'!C24</f>
        <v>0</v>
      </c>
    </row>
    <row r="68" spans="6:8" ht="15.6" x14ac:dyDescent="0.3">
      <c r="F68" s="172">
        <f>'1.2 Transmission pipelines'!A25</f>
        <v>0</v>
      </c>
      <c r="G68" s="172">
        <f>'1.2 Transmission pipelines'!B25</f>
        <v>0</v>
      </c>
      <c r="H68" s="172">
        <f>'1.2 Transmission pipelines'!C25</f>
        <v>0</v>
      </c>
    </row>
    <row r="69" spans="6:8" ht="15.6" x14ac:dyDescent="0.3">
      <c r="F69" s="172">
        <f>'1.2 Transmission pipelines'!A26</f>
        <v>0</v>
      </c>
      <c r="G69" s="172">
        <f>'1.2 Transmission pipelines'!B26</f>
        <v>0</v>
      </c>
      <c r="H69" s="172">
        <f>'1.2 Transmission pipelines'!C26</f>
        <v>0</v>
      </c>
    </row>
    <row r="70" spans="6:8" ht="15.6" x14ac:dyDescent="0.3">
      <c r="F70" s="172">
        <f>'1.2 Transmission pipelines'!A27</f>
        <v>0</v>
      </c>
      <c r="G70" s="172">
        <f>'1.2 Transmission pipelines'!B27</f>
        <v>0</v>
      </c>
      <c r="H70" s="172">
        <f>'1.2 Transmission pipelines'!C27</f>
        <v>0</v>
      </c>
    </row>
    <row r="71" spans="6:8" ht="15.6" x14ac:dyDescent="0.3">
      <c r="F71" s="172">
        <f>'1.2 Transmission pipelines'!A28</f>
        <v>0</v>
      </c>
      <c r="G71" s="172">
        <f>'1.2 Transmission pipelines'!B28</f>
        <v>0</v>
      </c>
      <c r="H71" s="172">
        <f>'1.2 Transmission pipelines'!C28</f>
        <v>0</v>
      </c>
    </row>
    <row r="72" spans="6:8" ht="15.6" x14ac:dyDescent="0.3">
      <c r="F72" s="172">
        <f>'1.2 Transmission pipelines'!A29</f>
        <v>0</v>
      </c>
      <c r="G72" s="172">
        <f>'1.2 Transmission pipelines'!B29</f>
        <v>0</v>
      </c>
      <c r="H72" s="172">
        <f>'1.2 Transmission pipelines'!C29</f>
        <v>0</v>
      </c>
    </row>
    <row r="73" spans="6:8" ht="15.6" x14ac:dyDescent="0.3">
      <c r="F73" s="172">
        <f>'1.2 Transmission pipelines'!A30</f>
        <v>0</v>
      </c>
      <c r="G73" s="172">
        <f>'1.2 Transmission pipelines'!B30</f>
        <v>0</v>
      </c>
      <c r="H73" s="172">
        <f>'1.2 Transmission pipelines'!C30</f>
        <v>0</v>
      </c>
    </row>
    <row r="74" spans="6:8" ht="15.6" x14ac:dyDescent="0.3">
      <c r="F74" s="179">
        <f>'1.2 Transmission pipelines'!A31</f>
        <v>0</v>
      </c>
      <c r="G74" s="179">
        <f>'1.2 Transmission pipelines'!B31</f>
        <v>0</v>
      </c>
      <c r="H74" s="179">
        <f>'1.2 Transmission pipelines'!C31</f>
        <v>0</v>
      </c>
    </row>
    <row r="75" spans="6:8" ht="15.6" x14ac:dyDescent="0.3">
      <c r="F75" s="179">
        <f>'1.2 Transmission pipelines'!A32</f>
        <v>0</v>
      </c>
      <c r="G75" s="179">
        <f>'1.2 Transmission pipelines'!B32</f>
        <v>0</v>
      </c>
      <c r="H75" s="179">
        <f>'1.2 Transmission pipelines'!C32</f>
        <v>0</v>
      </c>
    </row>
    <row r="76" spans="6:8" ht="15.6" x14ac:dyDescent="0.3">
      <c r="F76" s="179">
        <f>'1.2 Transmission pipelines'!A33</f>
        <v>0</v>
      </c>
      <c r="G76" s="179">
        <f>'1.2 Transmission pipelines'!B33</f>
        <v>0</v>
      </c>
      <c r="H76" s="179">
        <f>'1.2 Transmission pipelines'!C33</f>
        <v>0</v>
      </c>
    </row>
    <row r="77" spans="6:8" ht="15.6" x14ac:dyDescent="0.3">
      <c r="F77" s="179">
        <f>'1.2 Transmission pipelines'!A34</f>
        <v>0</v>
      </c>
      <c r="G77" s="179">
        <f>'1.2 Transmission pipelines'!B34</f>
        <v>0</v>
      </c>
      <c r="H77" s="179">
        <f>'1.2 Transmission pipelines'!C34</f>
        <v>0</v>
      </c>
    </row>
    <row r="78" spans="6:8" ht="15.6" x14ac:dyDescent="0.3">
      <c r="F78" s="179">
        <f>'1.2 Transmission pipelines'!A35</f>
        <v>0</v>
      </c>
      <c r="G78" s="179">
        <f>'1.2 Transmission pipelines'!B35</f>
        <v>0</v>
      </c>
      <c r="H78" s="179">
        <f>'1.2 Transmission pipelines'!C35</f>
        <v>0</v>
      </c>
    </row>
    <row r="79" spans="6:8" ht="15.6" x14ac:dyDescent="0.3">
      <c r="F79" s="179">
        <f>'1.2 Transmission pipelines'!A36</f>
        <v>0</v>
      </c>
      <c r="G79" s="179">
        <f>'1.2 Transmission pipelines'!B36</f>
        <v>0</v>
      </c>
      <c r="H79" s="179">
        <f>'1.2 Transmission pipelines'!C36</f>
        <v>0</v>
      </c>
    </row>
    <row r="80" spans="6:8" ht="15.6" x14ac:dyDescent="0.3">
      <c r="F80" s="179">
        <f>'1.2 Transmission pipelines'!A37</f>
        <v>0</v>
      </c>
      <c r="G80" s="179">
        <f>'1.2 Transmission pipelines'!B37</f>
        <v>0</v>
      </c>
      <c r="H80" s="179">
        <f>'1.2 Transmission pipelines'!C37</f>
        <v>0</v>
      </c>
    </row>
    <row r="81" spans="6:8" ht="15.6" x14ac:dyDescent="0.3">
      <c r="F81" s="179">
        <f>'1.2 Transmission pipelines'!A38</f>
        <v>0</v>
      </c>
      <c r="G81" s="179">
        <f>'1.2 Transmission pipelines'!B38</f>
        <v>0</v>
      </c>
      <c r="H81" s="179">
        <f>'1.2 Transmission pipelines'!C38</f>
        <v>0</v>
      </c>
    </row>
    <row r="82" spans="6:8" ht="15.6" x14ac:dyDescent="0.3">
      <c r="F82" s="179">
        <f>'1.2 Transmission pipelines'!A39</f>
        <v>0</v>
      </c>
      <c r="G82" s="179">
        <f>'1.2 Transmission pipelines'!B39</f>
        <v>0</v>
      </c>
      <c r="H82" s="179">
        <f>'1.2 Transmission pipelines'!C39</f>
        <v>0</v>
      </c>
    </row>
    <row r="83" spans="6:8" ht="15.6" x14ac:dyDescent="0.3">
      <c r="F83" s="179">
        <f>'1.2 Transmission pipelines'!A40</f>
        <v>0</v>
      </c>
      <c r="G83" s="179">
        <f>'1.2 Transmission pipelines'!B40</f>
        <v>0</v>
      </c>
      <c r="H83" s="179">
        <f>'1.2 Transmission pipelines'!C40</f>
        <v>0</v>
      </c>
    </row>
    <row r="84" spans="6:8" ht="15.6" x14ac:dyDescent="0.3">
      <c r="F84" s="179">
        <f>'1.2 Transmission pipelines'!A41</f>
        <v>0</v>
      </c>
      <c r="G84" s="179">
        <f>'1.2 Transmission pipelines'!B41</f>
        <v>0</v>
      </c>
      <c r="H84" s="179">
        <f>'1.2 Transmission pipelines'!C41</f>
        <v>0</v>
      </c>
    </row>
    <row r="85" spans="6:8" ht="15.6" x14ac:dyDescent="0.3">
      <c r="F85" s="179">
        <f>'1.2 Transmission pipelines'!A42</f>
        <v>0</v>
      </c>
      <c r="G85" s="179">
        <f>'1.2 Transmission pipelines'!B42</f>
        <v>0</v>
      </c>
      <c r="H85" s="179">
        <f>'1.2 Transmission pipelines'!C42</f>
        <v>0</v>
      </c>
    </row>
    <row r="86" spans="6:8" ht="15.6" x14ac:dyDescent="0.3">
      <c r="F86" s="179">
        <f>'1.2 Transmission pipelines'!A43</f>
        <v>0</v>
      </c>
      <c r="G86" s="179">
        <f>'1.2 Transmission pipelines'!B43</f>
        <v>0</v>
      </c>
      <c r="H86" s="179">
        <f>'1.2 Transmission pipelines'!C43</f>
        <v>0</v>
      </c>
    </row>
    <row r="87" spans="6:8" ht="15.6" x14ac:dyDescent="0.3">
      <c r="F87" s="179">
        <f>'1.2 Transmission pipelines'!A44</f>
        <v>0</v>
      </c>
      <c r="G87" s="179">
        <f>'1.2 Transmission pipelines'!B44</f>
        <v>0</v>
      </c>
      <c r="H87" s="179">
        <f>'1.2 Transmission pipelines'!C44</f>
        <v>0</v>
      </c>
    </row>
    <row r="88" spans="6:8" ht="15.6" x14ac:dyDescent="0.3">
      <c r="F88" s="179">
        <f>'1.2 Transmission pipelines'!A45</f>
        <v>0</v>
      </c>
      <c r="G88" s="179">
        <f>'1.2 Transmission pipelines'!B45</f>
        <v>0</v>
      </c>
      <c r="H88" s="179">
        <f>'1.2 Transmission pipelines'!C45</f>
        <v>0</v>
      </c>
    </row>
    <row r="89" spans="6:8" ht="15.6" x14ac:dyDescent="0.3">
      <c r="F89" s="179">
        <f>'1.2 Transmission pipelines'!A46</f>
        <v>0</v>
      </c>
      <c r="G89" s="179">
        <f>'1.2 Transmission pipelines'!B46</f>
        <v>0</v>
      </c>
      <c r="H89" s="179">
        <f>'1.2 Transmission pipelines'!C46</f>
        <v>0</v>
      </c>
    </row>
    <row r="90" spans="6:8" ht="15.6" x14ac:dyDescent="0.3">
      <c r="F90" s="179">
        <f>'1.2 Transmission pipelines'!A47</f>
        <v>0</v>
      </c>
      <c r="G90" s="179">
        <f>'1.2 Transmission pipelines'!B47</f>
        <v>0</v>
      </c>
      <c r="H90" s="179">
        <f>'1.2 Transmission pipelines'!C47</f>
        <v>0</v>
      </c>
    </row>
    <row r="91" spans="6:8" ht="15.6" x14ac:dyDescent="0.3">
      <c r="F91" s="179">
        <f>'1.2 Transmission pipelines'!A48</f>
        <v>0</v>
      </c>
      <c r="G91" s="179">
        <f>'1.2 Transmission pipelines'!B48</f>
        <v>0</v>
      </c>
      <c r="H91" s="179">
        <f>'1.2 Transmission pipelines'!C48</f>
        <v>0</v>
      </c>
    </row>
    <row r="92" spans="6:8" ht="15.6" x14ac:dyDescent="0.3">
      <c r="F92" s="179">
        <f>'1.2 Transmission pipelines'!A49</f>
        <v>0</v>
      </c>
      <c r="G92" s="179">
        <f>'1.2 Transmission pipelines'!B49</f>
        <v>0</v>
      </c>
      <c r="H92" s="179">
        <f>'1.2 Transmission pipelines'!C49</f>
        <v>0</v>
      </c>
    </row>
    <row r="93" spans="6:8" ht="15.6" x14ac:dyDescent="0.3">
      <c r="F93" s="179">
        <f>'1.2 Transmission pipelines'!A50</f>
        <v>0</v>
      </c>
      <c r="G93" s="179">
        <f>'1.2 Transmission pipelines'!B50</f>
        <v>0</v>
      </c>
      <c r="H93" s="179">
        <f>'1.2 Transmission pipelines'!C50</f>
        <v>0</v>
      </c>
    </row>
    <row r="94" spans="6:8" ht="15.6" x14ac:dyDescent="0.3">
      <c r="F94" s="179">
        <f>'1.2 Transmission pipelines'!A51</f>
        <v>0</v>
      </c>
      <c r="G94" s="179">
        <f>'1.2 Transmission pipelines'!B51</f>
        <v>0</v>
      </c>
      <c r="H94" s="179">
        <f>'1.2 Transmission pipelines'!C51</f>
        <v>0</v>
      </c>
    </row>
    <row r="95" spans="6:8" ht="15.6" x14ac:dyDescent="0.3">
      <c r="F95" s="179">
        <f>'1.2 Transmission pipelines'!A52</f>
        <v>0</v>
      </c>
      <c r="G95" s="179">
        <f>'1.2 Transmission pipelines'!B52</f>
        <v>0</v>
      </c>
      <c r="H95" s="179">
        <f>'1.2 Transmission pipelines'!C52</f>
        <v>0</v>
      </c>
    </row>
    <row r="96" spans="6:8" ht="15.6" x14ac:dyDescent="0.3">
      <c r="F96" s="179">
        <f>'1.2 Transmission pipelines'!A53</f>
        <v>0</v>
      </c>
      <c r="G96" s="179">
        <f>'1.2 Transmission pipelines'!B53</f>
        <v>0</v>
      </c>
      <c r="H96" s="179">
        <f>'1.2 Transmission pipelines'!C53</f>
        <v>0</v>
      </c>
    </row>
    <row r="97" spans="2:8" ht="15.6" x14ac:dyDescent="0.3">
      <c r="F97" s="179">
        <f>'1.2 Transmission pipelines'!A54</f>
        <v>0</v>
      </c>
      <c r="G97" s="179">
        <f>'1.2 Transmission pipelines'!B54</f>
        <v>0</v>
      </c>
      <c r="H97" s="179">
        <f>'1.2 Transmission pipelines'!C54</f>
        <v>0</v>
      </c>
    </row>
    <row r="98" spans="2:8" ht="16.2" thickBot="1" x14ac:dyDescent="0.35">
      <c r="F98" s="179">
        <f>'1.2 Transmission pipelines'!A55</f>
        <v>0</v>
      </c>
      <c r="G98" s="179">
        <f>'1.2 Transmission pipelines'!B55</f>
        <v>0</v>
      </c>
      <c r="H98" s="179">
        <f>'1.2 Transmission pipelines'!C55</f>
        <v>0</v>
      </c>
    </row>
    <row r="99" spans="2:8" ht="16.8" thickTop="1" thickBot="1" x14ac:dyDescent="0.35">
      <c r="F99" s="138" t="s">
        <v>170</v>
      </c>
      <c r="G99" s="136"/>
      <c r="H99" s="137"/>
    </row>
    <row r="100" spans="2:8" ht="16.2" thickTop="1" x14ac:dyDescent="0.3">
      <c r="F100" s="180">
        <f>'1.2 Transmission pipelines'!A57</f>
        <v>0</v>
      </c>
      <c r="G100" s="180">
        <f>'1.2 Transmission pipelines'!B57</f>
        <v>0</v>
      </c>
      <c r="H100" s="180">
        <f>'1.2 Transmission pipelines'!C57</f>
        <v>0</v>
      </c>
    </row>
    <row r="101" spans="2:8" ht="15.6" x14ac:dyDescent="0.3">
      <c r="F101" s="172">
        <f>'1.2 Transmission pipelines'!A58</f>
        <v>0</v>
      </c>
      <c r="G101" s="172">
        <f>'1.2 Transmission pipelines'!B58</f>
        <v>0</v>
      </c>
      <c r="H101" s="172">
        <f>'1.2 Transmission pipelines'!C58</f>
        <v>0</v>
      </c>
    </row>
    <row r="102" spans="2:8" ht="15.6" x14ac:dyDescent="0.3">
      <c r="F102" s="172">
        <f>'1.2 Transmission pipelines'!A59</f>
        <v>0</v>
      </c>
      <c r="G102" s="172">
        <f>'1.2 Transmission pipelines'!B59</f>
        <v>0</v>
      </c>
      <c r="H102" s="172">
        <f>'1.2 Transmission pipelines'!C59</f>
        <v>0</v>
      </c>
    </row>
    <row r="103" spans="2:8" ht="15.6" x14ac:dyDescent="0.3">
      <c r="F103" s="172">
        <f>'1.2 Transmission pipelines'!A60</f>
        <v>0</v>
      </c>
      <c r="G103" s="172">
        <f>'1.2 Transmission pipelines'!B60</f>
        <v>0</v>
      </c>
      <c r="H103" s="172">
        <f>'1.2 Transmission pipelines'!C60</f>
        <v>0</v>
      </c>
    </row>
    <row r="104" spans="2:8" ht="15.6" x14ac:dyDescent="0.3">
      <c r="F104" s="172">
        <f>'1.2 Transmission pipelines'!A61</f>
        <v>0</v>
      </c>
      <c r="G104" s="172">
        <f>'1.2 Transmission pipelines'!B61</f>
        <v>0</v>
      </c>
      <c r="H104" s="172">
        <f>'1.2 Transmission pipelines'!C61</f>
        <v>0</v>
      </c>
    </row>
    <row r="105" spans="2:8" ht="15.6" x14ac:dyDescent="0.3">
      <c r="F105" s="172">
        <f>'1.2 Transmission pipelines'!A62</f>
        <v>0</v>
      </c>
      <c r="G105" s="172">
        <f>'1.2 Transmission pipelines'!B62</f>
        <v>0</v>
      </c>
      <c r="H105" s="172">
        <f>'1.2 Transmission pipelines'!C62</f>
        <v>0</v>
      </c>
    </row>
    <row r="106" spans="2:8" ht="15.6" x14ac:dyDescent="0.3">
      <c r="F106" s="172">
        <f>'1.2 Transmission pipelines'!A63</f>
        <v>0</v>
      </c>
      <c r="G106" s="172">
        <f>'1.2 Transmission pipelines'!B63</f>
        <v>0</v>
      </c>
      <c r="H106" s="172">
        <f>'1.2 Transmission pipelines'!C63</f>
        <v>0</v>
      </c>
    </row>
    <row r="107" spans="2:8" ht="15.6" x14ac:dyDescent="0.3">
      <c r="F107" s="172">
        <f>'1.2 Transmission pipelines'!A64</f>
        <v>0</v>
      </c>
      <c r="G107" s="172">
        <f>'1.2 Transmission pipelines'!B64</f>
        <v>0</v>
      </c>
      <c r="H107" s="172">
        <f>'1.2 Transmission pipelines'!C64</f>
        <v>0</v>
      </c>
    </row>
    <row r="108" spans="2:8" ht="15.6" x14ac:dyDescent="0.3">
      <c r="F108" s="172">
        <f>'1.2 Transmission pipelines'!A65</f>
        <v>0</v>
      </c>
      <c r="G108" s="172">
        <f>'1.2 Transmission pipelines'!B65</f>
        <v>0</v>
      </c>
      <c r="H108" s="172">
        <f>'1.2 Transmission pipelines'!C65</f>
        <v>0</v>
      </c>
    </row>
    <row r="109" spans="2:8" ht="15.6" x14ac:dyDescent="0.3">
      <c r="F109" s="172">
        <f>'1.2 Transmission pipelines'!A66</f>
        <v>0</v>
      </c>
      <c r="G109" s="172">
        <f>'1.2 Transmission pipelines'!B66</f>
        <v>0</v>
      </c>
      <c r="H109" s="172">
        <f>'1.2 Transmission pipelines'!C66</f>
        <v>0</v>
      </c>
    </row>
    <row r="112" spans="2:8" x14ac:dyDescent="0.25">
      <c r="B112" s="171" t="s">
        <v>127</v>
      </c>
      <c r="C112" s="181"/>
    </row>
    <row r="113" spans="2:9" ht="15.6" x14ac:dyDescent="0.3">
      <c r="B113" s="158" t="s">
        <v>12</v>
      </c>
      <c r="C113" s="159">
        <f>'1.5 Water Prod Well'!C14+'1.5 Water Prod Well'!C15</f>
        <v>0</v>
      </c>
      <c r="F113" s="61" t="s">
        <v>44</v>
      </c>
      <c r="G113" s="172">
        <f>'1.5 Water Prod Well'!B10</f>
        <v>0</v>
      </c>
      <c r="H113" s="61" t="s">
        <v>8</v>
      </c>
    </row>
    <row r="114" spans="2:9" ht="15.6" x14ac:dyDescent="0.3">
      <c r="B114" s="158" t="s">
        <v>11</v>
      </c>
      <c r="C114" s="159">
        <f>'1.5 Water Prod Well'!C16</f>
        <v>0</v>
      </c>
      <c r="F114" s="61" t="s">
        <v>129</v>
      </c>
      <c r="G114" s="172">
        <f>'1.5 Water Prod Well'!B11</f>
        <v>0</v>
      </c>
      <c r="H114" s="61" t="s">
        <v>123</v>
      </c>
      <c r="I114" s="1" t="s">
        <v>185</v>
      </c>
    </row>
    <row r="115" spans="2:9" ht="15.6" x14ac:dyDescent="0.3">
      <c r="B115" s="158" t="s">
        <v>110</v>
      </c>
      <c r="C115" s="159">
        <f>'1.5 Water Prod Well'!C17</f>
        <v>0</v>
      </c>
      <c r="F115" s="61" t="s">
        <v>128</v>
      </c>
      <c r="G115" s="172">
        <f>'1.5 Water Prod Well'!B12</f>
        <v>0</v>
      </c>
      <c r="H115" s="61" t="s">
        <v>125</v>
      </c>
      <c r="I115" s="1" t="s">
        <v>186</v>
      </c>
    </row>
    <row r="116" spans="2:9" x14ac:dyDescent="0.25">
      <c r="B116" s="158" t="s">
        <v>20</v>
      </c>
      <c r="C116" s="159">
        <f>'1.5 Water Prod Well'!C18</f>
        <v>0</v>
      </c>
    </row>
    <row r="117" spans="2:9" x14ac:dyDescent="0.25">
      <c r="B117" s="158" t="s">
        <v>21</v>
      </c>
      <c r="C117" s="159">
        <f>'1.5 Water Prod Well'!C19</f>
        <v>0</v>
      </c>
      <c r="D117" s="61" t="s">
        <v>24</v>
      </c>
    </row>
    <row r="118" spans="2:9" x14ac:dyDescent="0.25">
      <c r="B118" s="158" t="s">
        <v>22</v>
      </c>
      <c r="C118" s="159">
        <f>'1.5 Water Prod Well'!C20</f>
        <v>0</v>
      </c>
      <c r="D118" s="61" t="s">
        <v>24</v>
      </c>
      <c r="E118" s="61" t="s">
        <v>126</v>
      </c>
    </row>
    <row r="119" spans="2:9" x14ac:dyDescent="0.25">
      <c r="B119" s="158" t="s">
        <v>30</v>
      </c>
      <c r="C119" s="159">
        <f>'1.5 Water Prod Well'!C21</f>
        <v>0</v>
      </c>
      <c r="D119" s="61" t="s">
        <v>24</v>
      </c>
    </row>
    <row r="120" spans="2:9" ht="15.6" x14ac:dyDescent="0.3">
      <c r="B120" s="168" t="s">
        <v>23</v>
      </c>
      <c r="C120" s="169">
        <f>'1.5 Water Prod Well'!C22</f>
        <v>0</v>
      </c>
      <c r="D120" s="157" t="s">
        <v>25</v>
      </c>
    </row>
    <row r="122" spans="2:9" ht="15.6" x14ac:dyDescent="0.3">
      <c r="B122" s="171" t="s">
        <v>108</v>
      </c>
      <c r="C122" s="61" t="s">
        <v>44</v>
      </c>
      <c r="D122" s="182"/>
      <c r="F122" s="158" t="s">
        <v>119</v>
      </c>
      <c r="G122" s="172">
        <f>'1.6 Concrete Storage Tanks'!B9</f>
        <v>0</v>
      </c>
      <c r="H122" s="183" t="s">
        <v>60</v>
      </c>
      <c r="I122" s="165"/>
    </row>
    <row r="123" spans="2:9" x14ac:dyDescent="0.25">
      <c r="B123" s="158" t="s">
        <v>12</v>
      </c>
      <c r="C123" s="159">
        <f>'1.6 Concrete Storage Tanks'!C13</f>
        <v>0</v>
      </c>
      <c r="F123" s="60"/>
      <c r="G123" s="164"/>
      <c r="H123" s="60"/>
      <c r="I123" s="165"/>
    </row>
    <row r="124" spans="2:9" x14ac:dyDescent="0.25">
      <c r="B124" s="158" t="s">
        <v>11</v>
      </c>
      <c r="C124" s="159">
        <f>'1.6 Concrete Storage Tanks'!C14</f>
        <v>0</v>
      </c>
    </row>
    <row r="125" spans="2:9" x14ac:dyDescent="0.25">
      <c r="B125" s="158" t="s">
        <v>110</v>
      </c>
      <c r="C125" s="159">
        <f>'1.6 Concrete Storage Tanks'!C15</f>
        <v>0</v>
      </c>
    </row>
    <row r="126" spans="2:9" x14ac:dyDescent="0.25">
      <c r="B126" s="158" t="s">
        <v>20</v>
      </c>
      <c r="C126" s="159">
        <f>'1.6 Concrete Storage Tanks'!C16</f>
        <v>0</v>
      </c>
    </row>
    <row r="127" spans="2:9" x14ac:dyDescent="0.25">
      <c r="B127" s="158" t="s">
        <v>21</v>
      </c>
      <c r="C127" s="159">
        <f>'1.6 Concrete Storage Tanks'!C17</f>
        <v>0</v>
      </c>
      <c r="D127" s="61" t="s">
        <v>24</v>
      </c>
    </row>
    <row r="128" spans="2:9" x14ac:dyDescent="0.25">
      <c r="B128" s="158" t="s">
        <v>22</v>
      </c>
      <c r="C128" s="159">
        <f>'1.6 Concrete Storage Tanks'!C18</f>
        <v>0</v>
      </c>
      <c r="D128" s="61" t="s">
        <v>24</v>
      </c>
      <c r="E128" s="61" t="s">
        <v>61</v>
      </c>
    </row>
    <row r="129" spans="1:8" x14ac:dyDescent="0.25">
      <c r="B129" s="158" t="s">
        <v>30</v>
      </c>
      <c r="C129" s="159">
        <f>'1.6 Concrete Storage Tanks'!C19</f>
        <v>0</v>
      </c>
      <c r="D129" s="61" t="s">
        <v>24</v>
      </c>
    </row>
    <row r="130" spans="1:8" ht="15.6" x14ac:dyDescent="0.3">
      <c r="B130" s="168" t="s">
        <v>23</v>
      </c>
      <c r="C130" s="169">
        <f>'1.6 Concrete Storage Tanks'!C20</f>
        <v>0</v>
      </c>
      <c r="D130" s="157" t="s">
        <v>25</v>
      </c>
    </row>
    <row r="133" spans="1:8" ht="15.6" x14ac:dyDescent="0.3">
      <c r="A133" s="170" t="s">
        <v>97</v>
      </c>
    </row>
    <row r="134" spans="1:8" ht="15.6" x14ac:dyDescent="0.3">
      <c r="B134" s="171" t="s">
        <v>98</v>
      </c>
      <c r="C134" s="61" t="s">
        <v>44</v>
      </c>
      <c r="D134" s="172">
        <f>'2.1a UFA Wellfield'!B8</f>
        <v>0</v>
      </c>
      <c r="E134" s="61" t="s">
        <v>8</v>
      </c>
      <c r="F134" s="61" t="s">
        <v>9</v>
      </c>
      <c r="G134" s="172">
        <f>'2.1a UFA Wellfield'!B9</f>
        <v>1.5</v>
      </c>
    </row>
    <row r="135" spans="1:8" x14ac:dyDescent="0.25">
      <c r="B135" s="158" t="s">
        <v>12</v>
      </c>
      <c r="C135" s="159">
        <f>'2.1a UFA Wellfield'!C13</f>
        <v>0</v>
      </c>
      <c r="F135" s="61" t="s">
        <v>26</v>
      </c>
      <c r="G135" s="154">
        <f>'2.1a UFA Wellfield'!B10</f>
        <v>0</v>
      </c>
      <c r="H135" s="61" t="s">
        <v>8</v>
      </c>
    </row>
    <row r="136" spans="1:8" x14ac:dyDescent="0.25">
      <c r="B136" s="158" t="s">
        <v>11</v>
      </c>
      <c r="C136" s="159">
        <f>'2.1a UFA Wellfield'!C14</f>
        <v>0</v>
      </c>
    </row>
    <row r="137" spans="1:8" x14ac:dyDescent="0.25">
      <c r="B137" s="158" t="s">
        <v>110</v>
      </c>
      <c r="C137" s="159">
        <f>'2.1a UFA Wellfield'!C15</f>
        <v>0</v>
      </c>
    </row>
    <row r="138" spans="1:8" x14ac:dyDescent="0.25">
      <c r="B138" s="158" t="s">
        <v>20</v>
      </c>
      <c r="C138" s="159">
        <f>'2.1a UFA Wellfield'!C16</f>
        <v>0</v>
      </c>
    </row>
    <row r="139" spans="1:8" x14ac:dyDescent="0.25">
      <c r="B139" s="158" t="s">
        <v>21</v>
      </c>
      <c r="C139" s="159">
        <f>'2.1a UFA Wellfield'!C17</f>
        <v>0</v>
      </c>
      <c r="D139" s="61" t="s">
        <v>24</v>
      </c>
    </row>
    <row r="140" spans="1:8" x14ac:dyDescent="0.25">
      <c r="B140" s="158" t="s">
        <v>22</v>
      </c>
      <c r="C140" s="159">
        <f>'2.1a UFA Wellfield'!C18</f>
        <v>0</v>
      </c>
      <c r="D140" s="61" t="s">
        <v>24</v>
      </c>
    </row>
    <row r="141" spans="1:8" x14ac:dyDescent="0.25">
      <c r="B141" s="158" t="s">
        <v>30</v>
      </c>
      <c r="C141" s="159">
        <f>'2.1a UFA Wellfield'!C19</f>
        <v>0</v>
      </c>
      <c r="D141" s="61" t="s">
        <v>24</v>
      </c>
    </row>
    <row r="142" spans="1:8" ht="15.6" x14ac:dyDescent="0.3">
      <c r="B142" s="168" t="s">
        <v>23</v>
      </c>
      <c r="C142" s="169">
        <f>'2.1a UFA Wellfield'!C20</f>
        <v>0</v>
      </c>
      <c r="D142" s="157" t="s">
        <v>25</v>
      </c>
    </row>
    <row r="144" spans="1:8" ht="15.6" x14ac:dyDescent="0.3">
      <c r="B144" s="171" t="s">
        <v>99</v>
      </c>
      <c r="C144" s="61" t="s">
        <v>44</v>
      </c>
      <c r="D144" s="172">
        <f>'2.1b LFA wellfield'!B8</f>
        <v>0</v>
      </c>
      <c r="E144" s="61" t="s">
        <v>8</v>
      </c>
      <c r="F144" s="61" t="s">
        <v>9</v>
      </c>
      <c r="G144" s="172">
        <f>'2.1b LFA wellfield'!B9</f>
        <v>1.25</v>
      </c>
    </row>
    <row r="145" spans="2:8" x14ac:dyDescent="0.25">
      <c r="B145" s="158" t="s">
        <v>12</v>
      </c>
      <c r="C145" s="159">
        <f>'2.1b LFA wellfield'!C13</f>
        <v>0</v>
      </c>
      <c r="F145" s="61" t="s">
        <v>26</v>
      </c>
      <c r="G145" s="154">
        <f>'2.1b LFA wellfield'!B10</f>
        <v>0</v>
      </c>
      <c r="H145" s="61" t="s">
        <v>8</v>
      </c>
    </row>
    <row r="146" spans="2:8" x14ac:dyDescent="0.25">
      <c r="B146" s="158" t="s">
        <v>11</v>
      </c>
      <c r="C146" s="159">
        <f>'2.1b LFA wellfield'!C14</f>
        <v>0</v>
      </c>
    </row>
    <row r="147" spans="2:8" x14ac:dyDescent="0.25">
      <c r="B147" s="158" t="s">
        <v>110</v>
      </c>
      <c r="C147" s="159">
        <f>'2.1b LFA wellfield'!C15</f>
        <v>0</v>
      </c>
    </row>
    <row r="148" spans="2:8" x14ac:dyDescent="0.25">
      <c r="B148" s="158" t="s">
        <v>20</v>
      </c>
      <c r="C148" s="159">
        <f>'2.1b LFA wellfield'!C16</f>
        <v>0</v>
      </c>
    </row>
    <row r="149" spans="2:8" x14ac:dyDescent="0.25">
      <c r="B149" s="158" t="s">
        <v>21</v>
      </c>
      <c r="C149" s="159">
        <f>'2.1b LFA wellfield'!C17</f>
        <v>0</v>
      </c>
      <c r="D149" s="61" t="s">
        <v>24</v>
      </c>
    </row>
    <row r="150" spans="2:8" x14ac:dyDescent="0.25">
      <c r="B150" s="158" t="s">
        <v>22</v>
      </c>
      <c r="C150" s="159">
        <f>'2.1b LFA wellfield'!C18</f>
        <v>0</v>
      </c>
      <c r="D150" s="61" t="s">
        <v>24</v>
      </c>
    </row>
    <row r="151" spans="2:8" x14ac:dyDescent="0.25">
      <c r="B151" s="158" t="s">
        <v>30</v>
      </c>
      <c r="C151" s="159">
        <f>'2.1b LFA wellfield'!C19</f>
        <v>0</v>
      </c>
      <c r="D151" s="61" t="s">
        <v>24</v>
      </c>
    </row>
    <row r="152" spans="2:8" ht="15.6" x14ac:dyDescent="0.3">
      <c r="B152" s="168" t="s">
        <v>23</v>
      </c>
      <c r="C152" s="169">
        <f>'2.1b LFA wellfield'!C20</f>
        <v>0</v>
      </c>
      <c r="D152" s="157" t="s">
        <v>25</v>
      </c>
    </row>
    <row r="154" spans="2:8" ht="15.6" x14ac:dyDescent="0.3">
      <c r="B154" s="171" t="s">
        <v>118</v>
      </c>
      <c r="C154" s="61" t="s">
        <v>44</v>
      </c>
      <c r="D154" s="172">
        <f>'2.2 ASR systems'!B8</f>
        <v>0</v>
      </c>
      <c r="E154" s="61" t="s">
        <v>8</v>
      </c>
      <c r="F154" s="61" t="s">
        <v>9</v>
      </c>
      <c r="G154" s="172">
        <f>'2.2 ASR systems'!B9</f>
        <v>5</v>
      </c>
    </row>
    <row r="155" spans="2:8" x14ac:dyDescent="0.25">
      <c r="B155" s="158" t="s">
        <v>12</v>
      </c>
      <c r="C155" s="159">
        <f>'2.2 ASR systems'!C13</f>
        <v>0</v>
      </c>
      <c r="F155" s="61" t="s">
        <v>26</v>
      </c>
      <c r="G155" s="154">
        <f>'2.2 ASR systems'!B10</f>
        <v>0</v>
      </c>
      <c r="H155" s="61" t="s">
        <v>8</v>
      </c>
    </row>
    <row r="156" spans="2:8" x14ac:dyDescent="0.25">
      <c r="B156" s="158" t="s">
        <v>11</v>
      </c>
      <c r="C156" s="159">
        <f>'2.2 ASR systems'!C14</f>
        <v>0</v>
      </c>
    </row>
    <row r="157" spans="2:8" x14ac:dyDescent="0.25">
      <c r="B157" s="158" t="s">
        <v>110</v>
      </c>
      <c r="C157" s="159">
        <f>'2.2 ASR systems'!C15</f>
        <v>0</v>
      </c>
    </row>
    <row r="158" spans="2:8" x14ac:dyDescent="0.25">
      <c r="B158" s="158" t="s">
        <v>20</v>
      </c>
      <c r="C158" s="159">
        <f>'2.2 ASR systems'!C16</f>
        <v>0</v>
      </c>
    </row>
    <row r="159" spans="2:8" x14ac:dyDescent="0.25">
      <c r="B159" s="158" t="s">
        <v>21</v>
      </c>
      <c r="C159" s="159">
        <f>'2.2 ASR systems'!C17</f>
        <v>0</v>
      </c>
      <c r="D159" s="61" t="s">
        <v>24</v>
      </c>
    </row>
    <row r="160" spans="2:8" x14ac:dyDescent="0.25">
      <c r="B160" s="158" t="s">
        <v>22</v>
      </c>
      <c r="C160" s="159">
        <f>'2.2 ASR systems'!C18</f>
        <v>0</v>
      </c>
      <c r="D160" s="61" t="s">
        <v>24</v>
      </c>
    </row>
    <row r="161" spans="2:8" x14ac:dyDescent="0.25">
      <c r="B161" s="158" t="s">
        <v>30</v>
      </c>
      <c r="C161" s="159">
        <f>'2.2 ASR systems'!C19</f>
        <v>0</v>
      </c>
      <c r="D161" s="61" t="s">
        <v>24</v>
      </c>
    </row>
    <row r="162" spans="2:8" ht="15.6" x14ac:dyDescent="0.3">
      <c r="B162" s="168" t="s">
        <v>23</v>
      </c>
      <c r="C162" s="169">
        <f>'2.2 ASR systems'!C20</f>
        <v>0</v>
      </c>
      <c r="D162" s="157" t="s">
        <v>25</v>
      </c>
    </row>
    <row r="164" spans="2:8" ht="15.6" x14ac:dyDescent="0.3">
      <c r="B164" s="171" t="s">
        <v>100</v>
      </c>
      <c r="C164" s="61" t="s">
        <v>44</v>
      </c>
      <c r="D164" s="172">
        <f>'2.3 Booster PS'!B8</f>
        <v>0</v>
      </c>
      <c r="E164" s="61" t="s">
        <v>8</v>
      </c>
      <c r="F164" s="61" t="s">
        <v>9</v>
      </c>
      <c r="G164" s="172">
        <f>'2.3 Booster PS'!B9</f>
        <v>1.5</v>
      </c>
    </row>
    <row r="165" spans="2:8" x14ac:dyDescent="0.25">
      <c r="B165" s="158" t="s">
        <v>12</v>
      </c>
      <c r="C165" s="159">
        <f>'2.3 Booster PS'!C13</f>
        <v>0</v>
      </c>
      <c r="F165" s="61" t="s">
        <v>26</v>
      </c>
      <c r="G165" s="154">
        <f>'2.3 Booster PS'!B10</f>
        <v>0</v>
      </c>
      <c r="H165" s="61" t="s">
        <v>8</v>
      </c>
    </row>
    <row r="166" spans="2:8" x14ac:dyDescent="0.25">
      <c r="B166" s="158" t="s">
        <v>11</v>
      </c>
      <c r="C166" s="159">
        <f>'2.3 Booster PS'!C14</f>
        <v>0</v>
      </c>
    </row>
    <row r="167" spans="2:8" x14ac:dyDescent="0.25">
      <c r="B167" s="158" t="s">
        <v>110</v>
      </c>
      <c r="C167" s="159">
        <f>'2.3 Booster PS'!C15</f>
        <v>0</v>
      </c>
    </row>
    <row r="168" spans="2:8" x14ac:dyDescent="0.25">
      <c r="B168" s="158" t="s">
        <v>20</v>
      </c>
      <c r="C168" s="159">
        <f>'2.3 Booster PS'!C16</f>
        <v>0</v>
      </c>
    </row>
    <row r="169" spans="2:8" x14ac:dyDescent="0.25">
      <c r="B169" s="158" t="s">
        <v>21</v>
      </c>
      <c r="C169" s="159">
        <f>'2.3 Booster PS'!C17</f>
        <v>0</v>
      </c>
      <c r="D169" s="61" t="s">
        <v>24</v>
      </c>
    </row>
    <row r="170" spans="2:8" x14ac:dyDescent="0.25">
      <c r="B170" s="158" t="s">
        <v>22</v>
      </c>
      <c r="C170" s="159">
        <f>'2.3 Booster PS'!C18</f>
        <v>0</v>
      </c>
      <c r="D170" s="61" t="s">
        <v>24</v>
      </c>
    </row>
    <row r="171" spans="2:8" x14ac:dyDescent="0.25">
      <c r="B171" s="158" t="s">
        <v>30</v>
      </c>
      <c r="C171" s="159">
        <f>'2.3 Booster PS'!C19</f>
        <v>0</v>
      </c>
      <c r="D171" s="61" t="s">
        <v>24</v>
      </c>
    </row>
    <row r="172" spans="2:8" ht="15.6" x14ac:dyDescent="0.3">
      <c r="B172" s="168" t="s">
        <v>23</v>
      </c>
      <c r="C172" s="169">
        <f>'2.3 Booster PS'!C20</f>
        <v>0</v>
      </c>
      <c r="D172" s="157" t="s">
        <v>25</v>
      </c>
    </row>
    <row r="174" spans="2:8" ht="15.6" x14ac:dyDescent="0.3">
      <c r="B174" s="171" t="s">
        <v>101</v>
      </c>
      <c r="C174" s="61" t="s">
        <v>44</v>
      </c>
      <c r="D174" s="172">
        <f>'2.4 Residual Disinfection'!B8</f>
        <v>0</v>
      </c>
      <c r="E174" s="61" t="s">
        <v>8</v>
      </c>
      <c r="F174" s="61" t="s">
        <v>9</v>
      </c>
      <c r="G174" s="172">
        <f>'2.4 Residual Disinfection'!B9</f>
        <v>1.5</v>
      </c>
    </row>
    <row r="175" spans="2:8" x14ac:dyDescent="0.25">
      <c r="B175" s="158" t="s">
        <v>12</v>
      </c>
      <c r="C175" s="159">
        <f>'2.4 Residual Disinfection'!C13</f>
        <v>0</v>
      </c>
      <c r="F175" s="61" t="s">
        <v>26</v>
      </c>
      <c r="G175" s="154">
        <f>'2.4 Residual Disinfection'!B10</f>
        <v>0</v>
      </c>
      <c r="H175" s="61" t="s">
        <v>8</v>
      </c>
    </row>
    <row r="176" spans="2:8" x14ac:dyDescent="0.25">
      <c r="B176" s="158" t="s">
        <v>11</v>
      </c>
      <c r="C176" s="159">
        <f>'2.4 Residual Disinfection'!C14</f>
        <v>0</v>
      </c>
    </row>
    <row r="177" spans="2:10" x14ac:dyDescent="0.25">
      <c r="B177" s="158" t="s">
        <v>110</v>
      </c>
      <c r="C177" s="159">
        <f>'2.4 Residual Disinfection'!C15</f>
        <v>0</v>
      </c>
    </row>
    <row r="178" spans="2:10" x14ac:dyDescent="0.25">
      <c r="B178" s="158" t="s">
        <v>20</v>
      </c>
      <c r="C178" s="159">
        <f>'2.4 Residual Disinfection'!C16</f>
        <v>0</v>
      </c>
    </row>
    <row r="179" spans="2:10" x14ac:dyDescent="0.25">
      <c r="B179" s="158" t="s">
        <v>21</v>
      </c>
      <c r="C179" s="159">
        <f>'2.4 Residual Disinfection'!C17</f>
        <v>0</v>
      </c>
      <c r="D179" s="61" t="s">
        <v>24</v>
      </c>
    </row>
    <row r="180" spans="2:10" x14ac:dyDescent="0.25">
      <c r="B180" s="158" t="s">
        <v>22</v>
      </c>
      <c r="C180" s="159">
        <f>'2.4 Residual Disinfection'!C18</f>
        <v>0</v>
      </c>
      <c r="D180" s="61" t="s">
        <v>24</v>
      </c>
    </row>
    <row r="181" spans="2:10" x14ac:dyDescent="0.25">
      <c r="B181" s="184" t="s">
        <v>30</v>
      </c>
      <c r="C181" s="159">
        <f>'2.4 Residual Disinfection'!C19</f>
        <v>0</v>
      </c>
      <c r="D181" s="61" t="s">
        <v>24</v>
      </c>
    </row>
    <row r="182" spans="2:10" ht="15.6" x14ac:dyDescent="0.3">
      <c r="B182" s="168" t="s">
        <v>23</v>
      </c>
      <c r="C182" s="169">
        <f>'2.4 Residual Disinfection'!C20</f>
        <v>0</v>
      </c>
      <c r="D182" s="157" t="s">
        <v>25</v>
      </c>
    </row>
    <row r="184" spans="2:10" ht="15.6" x14ac:dyDescent="0.3">
      <c r="B184" s="171" t="s">
        <v>102</v>
      </c>
      <c r="C184" s="61" t="s">
        <v>44</v>
      </c>
      <c r="D184" s="172">
        <f>'2.6 Brackish GW TP'!B8</f>
        <v>0</v>
      </c>
      <c r="E184" s="61" t="s">
        <v>8</v>
      </c>
      <c r="F184" s="61" t="s">
        <v>9</v>
      </c>
      <c r="G184" s="172">
        <f>'2.6 Brackish GW TP'!B9</f>
        <v>1.25</v>
      </c>
      <c r="H184" s="61" t="s">
        <v>31</v>
      </c>
      <c r="I184" s="172">
        <f>'2.6 Brackish GW TP'!F10</f>
        <v>1500</v>
      </c>
      <c r="J184" s="61" t="s">
        <v>32</v>
      </c>
    </row>
    <row r="185" spans="2:10" x14ac:dyDescent="0.25">
      <c r="B185" s="158" t="s">
        <v>12</v>
      </c>
      <c r="C185" s="159">
        <f>'2.6 Brackish GW TP'!C13</f>
        <v>0</v>
      </c>
      <c r="F185" s="61" t="s">
        <v>26</v>
      </c>
      <c r="G185" s="154">
        <f>'2.6 Brackish GW TP'!B10</f>
        <v>0</v>
      </c>
      <c r="H185" s="61" t="s">
        <v>8</v>
      </c>
    </row>
    <row r="186" spans="2:10" x14ac:dyDescent="0.25">
      <c r="B186" s="158" t="s">
        <v>11</v>
      </c>
      <c r="C186" s="159">
        <f>'2.6 Brackish GW TP'!C14</f>
        <v>0</v>
      </c>
    </row>
    <row r="187" spans="2:10" x14ac:dyDescent="0.25">
      <c r="B187" s="158" t="s">
        <v>110</v>
      </c>
      <c r="C187" s="159">
        <f>'2.6 Brackish GW TP'!C15</f>
        <v>0</v>
      </c>
    </row>
    <row r="188" spans="2:10" x14ac:dyDescent="0.25">
      <c r="B188" s="158" t="s">
        <v>20</v>
      </c>
      <c r="C188" s="159">
        <f>'2.6 Brackish GW TP'!C16</f>
        <v>0</v>
      </c>
    </row>
    <row r="189" spans="2:10" x14ac:dyDescent="0.25">
      <c r="B189" s="158" t="s">
        <v>21</v>
      </c>
      <c r="C189" s="159">
        <f>'2.6 Brackish GW TP'!C17</f>
        <v>0</v>
      </c>
      <c r="D189" s="61" t="s">
        <v>24</v>
      </c>
    </row>
    <row r="190" spans="2:10" x14ac:dyDescent="0.25">
      <c r="B190" s="158" t="s">
        <v>22</v>
      </c>
      <c r="C190" s="159">
        <f>'2.6 Brackish GW TP'!C18</f>
        <v>0</v>
      </c>
      <c r="D190" s="61" t="s">
        <v>24</v>
      </c>
    </row>
    <row r="191" spans="2:10" x14ac:dyDescent="0.25">
      <c r="B191" s="158" t="s">
        <v>30</v>
      </c>
      <c r="C191" s="159">
        <f>'2.6 Brackish GW TP'!C19</f>
        <v>0</v>
      </c>
      <c r="D191" s="61" t="s">
        <v>24</v>
      </c>
    </row>
    <row r="192" spans="2:10" ht="15.6" x14ac:dyDescent="0.3">
      <c r="B192" s="168" t="s">
        <v>23</v>
      </c>
      <c r="C192" s="169">
        <f>'2.6 Brackish GW TP'!C20</f>
        <v>0</v>
      </c>
      <c r="D192" s="157" t="s">
        <v>25</v>
      </c>
    </row>
    <row r="194" spans="2:8" ht="15.6" x14ac:dyDescent="0.3">
      <c r="B194" s="171" t="s">
        <v>135</v>
      </c>
      <c r="C194" s="61" t="s">
        <v>44</v>
      </c>
      <c r="D194" s="172">
        <f>'2.7 Conv SW TP'!B8</f>
        <v>0</v>
      </c>
      <c r="E194" s="61" t="s">
        <v>8</v>
      </c>
      <c r="F194" s="61" t="s">
        <v>9</v>
      </c>
      <c r="G194" s="172">
        <f>'2.7 Conv SW TP'!B9</f>
        <v>1.05</v>
      </c>
    </row>
    <row r="195" spans="2:8" x14ac:dyDescent="0.25">
      <c r="B195" s="158" t="s">
        <v>12</v>
      </c>
      <c r="C195" s="159">
        <f>'2.7 Conv SW TP'!C13</f>
        <v>0</v>
      </c>
      <c r="F195" s="61" t="s">
        <v>26</v>
      </c>
      <c r="G195" s="154">
        <f>'2.7 Conv SW TP'!B10</f>
        <v>0</v>
      </c>
      <c r="H195" s="61" t="s">
        <v>8</v>
      </c>
    </row>
    <row r="196" spans="2:8" x14ac:dyDescent="0.25">
      <c r="B196" s="158" t="s">
        <v>11</v>
      </c>
      <c r="C196" s="159">
        <f>'2.7 Conv SW TP'!C14</f>
        <v>0</v>
      </c>
    </row>
    <row r="197" spans="2:8" x14ac:dyDescent="0.25">
      <c r="B197" s="158" t="s">
        <v>110</v>
      </c>
      <c r="C197" s="159">
        <f>'2.7 Conv SW TP'!C15</f>
        <v>0</v>
      </c>
    </row>
    <row r="198" spans="2:8" x14ac:dyDescent="0.25">
      <c r="B198" s="158" t="s">
        <v>20</v>
      </c>
      <c r="C198" s="159">
        <f>'2.7 Conv SW TP'!C16</f>
        <v>0</v>
      </c>
    </row>
    <row r="199" spans="2:8" x14ac:dyDescent="0.25">
      <c r="B199" s="158" t="s">
        <v>21</v>
      </c>
      <c r="C199" s="159">
        <f>'2.7 Conv SW TP'!C17</f>
        <v>0</v>
      </c>
      <c r="D199" s="61" t="s">
        <v>24</v>
      </c>
    </row>
    <row r="200" spans="2:8" x14ac:dyDescent="0.25">
      <c r="B200" s="158" t="s">
        <v>22</v>
      </c>
      <c r="C200" s="159">
        <f>'2.7 Conv SW TP'!C18</f>
        <v>0</v>
      </c>
      <c r="D200" s="61" t="s">
        <v>24</v>
      </c>
    </row>
    <row r="201" spans="2:8" x14ac:dyDescent="0.25">
      <c r="B201" s="158" t="s">
        <v>30</v>
      </c>
      <c r="C201" s="159">
        <f>'2.7 Conv SW TP'!C19</f>
        <v>0</v>
      </c>
      <c r="D201" s="61" t="s">
        <v>24</v>
      </c>
    </row>
    <row r="202" spans="2:8" ht="15.6" x14ac:dyDescent="0.3">
      <c r="B202" s="168" t="s">
        <v>23</v>
      </c>
      <c r="C202" s="169">
        <f>'2.7 Conv SW TP'!C20</f>
        <v>0</v>
      </c>
      <c r="D202" s="157" t="s">
        <v>25</v>
      </c>
    </row>
    <row r="204" spans="2:8" ht="15.6" x14ac:dyDescent="0.3">
      <c r="B204" s="171" t="s">
        <v>136</v>
      </c>
      <c r="C204" s="61" t="s">
        <v>44</v>
      </c>
      <c r="D204" s="172">
        <f>'2.8.1  Brackish SW TP -Potable'!B8</f>
        <v>0</v>
      </c>
      <c r="E204" s="61" t="s">
        <v>8</v>
      </c>
      <c r="F204" s="61" t="s">
        <v>9</v>
      </c>
      <c r="G204" s="172">
        <f>'2.8.1  Brackish SW TP -Potable'!B9</f>
        <v>1.05</v>
      </c>
    </row>
    <row r="205" spans="2:8" x14ac:dyDescent="0.25">
      <c r="B205" s="158" t="s">
        <v>12</v>
      </c>
      <c r="C205" s="159">
        <f>'2.8.1  Brackish SW TP -Potable'!C13</f>
        <v>0</v>
      </c>
      <c r="F205" s="61" t="s">
        <v>26</v>
      </c>
      <c r="G205" s="154">
        <f>'2.8.1  Brackish SW TP -Potable'!B10</f>
        <v>0</v>
      </c>
      <c r="H205" s="61" t="s">
        <v>8</v>
      </c>
    </row>
    <row r="206" spans="2:8" x14ac:dyDescent="0.25">
      <c r="B206" s="158" t="s">
        <v>11</v>
      </c>
      <c r="C206" s="159">
        <f>'2.8.1  Brackish SW TP -Potable'!C14</f>
        <v>0</v>
      </c>
    </row>
    <row r="207" spans="2:8" x14ac:dyDescent="0.25">
      <c r="B207" s="158" t="s">
        <v>110</v>
      </c>
      <c r="C207" s="159">
        <f>'2.8.1  Brackish SW TP -Potable'!C15</f>
        <v>0</v>
      </c>
    </row>
    <row r="208" spans="2:8" x14ac:dyDescent="0.25">
      <c r="B208" s="158" t="s">
        <v>20</v>
      </c>
      <c r="C208" s="159">
        <f>'2.8.1  Brackish SW TP -Potable'!C16</f>
        <v>0</v>
      </c>
    </row>
    <row r="209" spans="2:8" x14ac:dyDescent="0.25">
      <c r="B209" s="158" t="s">
        <v>21</v>
      </c>
      <c r="C209" s="159">
        <f>'2.8.1  Brackish SW TP -Potable'!C17</f>
        <v>0</v>
      </c>
      <c r="D209" s="61" t="s">
        <v>24</v>
      </c>
    </row>
    <row r="210" spans="2:8" x14ac:dyDescent="0.25">
      <c r="B210" s="158" t="s">
        <v>22</v>
      </c>
      <c r="C210" s="159">
        <f>'2.8.1  Brackish SW TP -Potable'!C18</f>
        <v>0</v>
      </c>
      <c r="D210" s="61" t="s">
        <v>24</v>
      </c>
    </row>
    <row r="211" spans="2:8" x14ac:dyDescent="0.25">
      <c r="B211" s="158" t="s">
        <v>30</v>
      </c>
      <c r="C211" s="159">
        <f>'2.8.1  Brackish SW TP -Potable'!C19</f>
        <v>0</v>
      </c>
      <c r="D211" s="61" t="s">
        <v>24</v>
      </c>
    </row>
    <row r="212" spans="2:8" ht="15.6" x14ac:dyDescent="0.3">
      <c r="B212" s="168" t="s">
        <v>23</v>
      </c>
      <c r="C212" s="169">
        <f>'2.8.1  Brackish SW TP -Potable'!C20</f>
        <v>0</v>
      </c>
      <c r="D212" s="157" t="s">
        <v>25</v>
      </c>
    </row>
    <row r="214" spans="2:8" ht="15.6" x14ac:dyDescent="0.3">
      <c r="B214" s="171" t="s">
        <v>137</v>
      </c>
      <c r="C214" s="61" t="s">
        <v>44</v>
      </c>
      <c r="D214" s="172">
        <f>'2.8.2 Brack SW TP - Reuse Aug'!B8</f>
        <v>0</v>
      </c>
      <c r="E214" s="61" t="s">
        <v>8</v>
      </c>
      <c r="F214" s="61" t="s">
        <v>9</v>
      </c>
      <c r="G214" s="172">
        <f>'2.8.2 Brack SW TP - Reuse Aug'!B9</f>
        <v>1.5</v>
      </c>
    </row>
    <row r="215" spans="2:8" x14ac:dyDescent="0.25">
      <c r="B215" s="158" t="s">
        <v>12</v>
      </c>
      <c r="C215" s="159">
        <f>'2.8.2 Brack SW TP - Reuse Aug'!C13</f>
        <v>0</v>
      </c>
      <c r="F215" s="61" t="s">
        <v>26</v>
      </c>
      <c r="G215" s="154">
        <f>'2.8.2 Brack SW TP - Reuse Aug'!B10</f>
        <v>0</v>
      </c>
      <c r="H215" s="61" t="s">
        <v>8</v>
      </c>
    </row>
    <row r="216" spans="2:8" x14ac:dyDescent="0.25">
      <c r="B216" s="158" t="s">
        <v>11</v>
      </c>
      <c r="C216" s="159">
        <f>'2.8.2 Brack SW TP - Reuse Aug'!C14</f>
        <v>0</v>
      </c>
    </row>
    <row r="217" spans="2:8" x14ac:dyDescent="0.25">
      <c r="B217" s="158" t="s">
        <v>110</v>
      </c>
      <c r="C217" s="159">
        <f>'2.8.2 Brack SW TP - Reuse Aug'!C15</f>
        <v>0</v>
      </c>
    </row>
    <row r="218" spans="2:8" x14ac:dyDescent="0.25">
      <c r="B218" s="158" t="s">
        <v>20</v>
      </c>
      <c r="C218" s="159">
        <f>'2.8.2 Brack SW TP - Reuse Aug'!C16</f>
        <v>0</v>
      </c>
    </row>
    <row r="219" spans="2:8" x14ac:dyDescent="0.25">
      <c r="B219" s="158" t="s">
        <v>21</v>
      </c>
      <c r="C219" s="159">
        <f>'2.8.2 Brack SW TP - Reuse Aug'!C17</f>
        <v>0</v>
      </c>
      <c r="D219" s="61" t="s">
        <v>24</v>
      </c>
    </row>
    <row r="220" spans="2:8" x14ac:dyDescent="0.25">
      <c r="B220" s="158" t="s">
        <v>22</v>
      </c>
      <c r="C220" s="159">
        <f>'2.8.2 Brack SW TP - Reuse Aug'!C18</f>
        <v>0</v>
      </c>
      <c r="D220" s="61" t="s">
        <v>24</v>
      </c>
    </row>
    <row r="221" spans="2:8" x14ac:dyDescent="0.25">
      <c r="B221" s="158" t="s">
        <v>30</v>
      </c>
      <c r="C221" s="159">
        <f>'2.8.2 Brack SW TP - Reuse Aug'!C19</f>
        <v>0</v>
      </c>
      <c r="D221" s="61" t="s">
        <v>24</v>
      </c>
    </row>
    <row r="222" spans="2:8" ht="15.6" x14ac:dyDescent="0.3">
      <c r="B222" s="168" t="s">
        <v>23</v>
      </c>
      <c r="C222" s="169">
        <f>'2.8.2 Brack SW TP - Reuse Aug'!C20</f>
        <v>0</v>
      </c>
      <c r="D222" s="157" t="s">
        <v>25</v>
      </c>
    </row>
    <row r="224" spans="2:8" ht="15.6" x14ac:dyDescent="0.3">
      <c r="B224" s="171" t="s">
        <v>142</v>
      </c>
      <c r="C224" s="61" t="s">
        <v>44</v>
      </c>
      <c r="D224" s="172">
        <f>'2.10a Seawater Desal WTP &lt;25mgd'!B8</f>
        <v>0</v>
      </c>
      <c r="E224" s="61" t="s">
        <v>8</v>
      </c>
      <c r="F224" s="61" t="s">
        <v>9</v>
      </c>
      <c r="G224" s="172">
        <f>'2.10a Seawater Desal WTP &lt;25mgd'!B9</f>
        <v>1.5</v>
      </c>
    </row>
    <row r="225" spans="2:8" x14ac:dyDescent="0.25">
      <c r="B225" s="158" t="s">
        <v>12</v>
      </c>
      <c r="C225" s="159">
        <f>'2.10a Seawater Desal WTP &lt;25mgd'!C13</f>
        <v>0</v>
      </c>
      <c r="F225" s="61" t="s">
        <v>26</v>
      </c>
      <c r="G225" s="154">
        <f>'2.10a Seawater Desal WTP &lt;25mgd'!B10</f>
        <v>0</v>
      </c>
      <c r="H225" s="61" t="s">
        <v>8</v>
      </c>
    </row>
    <row r="226" spans="2:8" x14ac:dyDescent="0.25">
      <c r="B226" s="158" t="s">
        <v>11</v>
      </c>
      <c r="C226" s="159">
        <f>'2.10a Seawater Desal WTP &lt;25mgd'!C14</f>
        <v>0</v>
      </c>
    </row>
    <row r="227" spans="2:8" x14ac:dyDescent="0.25">
      <c r="B227" s="158" t="s">
        <v>110</v>
      </c>
      <c r="C227" s="159">
        <f>'2.10a Seawater Desal WTP &lt;25mgd'!C15</f>
        <v>0</v>
      </c>
    </row>
    <row r="228" spans="2:8" x14ac:dyDescent="0.25">
      <c r="B228" s="158" t="s">
        <v>20</v>
      </c>
      <c r="C228" s="159">
        <f>'2.10a Seawater Desal WTP &lt;25mgd'!C16</f>
        <v>0</v>
      </c>
    </row>
    <row r="229" spans="2:8" x14ac:dyDescent="0.25">
      <c r="B229" s="158" t="s">
        <v>21</v>
      </c>
      <c r="C229" s="159">
        <f>'2.10a Seawater Desal WTP &lt;25mgd'!C17</f>
        <v>0</v>
      </c>
      <c r="D229" s="61" t="s">
        <v>24</v>
      </c>
    </row>
    <row r="230" spans="2:8" x14ac:dyDescent="0.25">
      <c r="B230" s="158" t="s">
        <v>22</v>
      </c>
      <c r="C230" s="159">
        <f>'2.10a Seawater Desal WTP &lt;25mgd'!C18</f>
        <v>0</v>
      </c>
      <c r="D230" s="61" t="s">
        <v>24</v>
      </c>
    </row>
    <row r="231" spans="2:8" x14ac:dyDescent="0.25">
      <c r="B231" s="158" t="s">
        <v>30</v>
      </c>
      <c r="C231" s="159">
        <f>'2.10a Seawater Desal WTP &lt;25mgd'!C19</f>
        <v>0</v>
      </c>
      <c r="D231" s="61" t="s">
        <v>24</v>
      </c>
    </row>
    <row r="232" spans="2:8" ht="15.6" x14ac:dyDescent="0.3">
      <c r="B232" s="168" t="s">
        <v>23</v>
      </c>
      <c r="C232" s="169">
        <f>'2.10a Seawater Desal WTP &lt;25mgd'!C20</f>
        <v>0</v>
      </c>
      <c r="D232" s="157" t="s">
        <v>25</v>
      </c>
    </row>
    <row r="234" spans="2:8" ht="15.6" x14ac:dyDescent="0.3">
      <c r="B234" s="171" t="s">
        <v>143</v>
      </c>
      <c r="C234" s="61" t="s">
        <v>44</v>
      </c>
      <c r="D234" s="172">
        <f>'2.10b Seawater Desal WTP&gt;25mgd'!B8</f>
        <v>0</v>
      </c>
      <c r="E234" s="61" t="s">
        <v>8</v>
      </c>
      <c r="F234" s="61" t="s">
        <v>9</v>
      </c>
      <c r="G234" s="172">
        <f>'2.10b Seawater Desal WTP&gt;25mgd'!B9</f>
        <v>1.5</v>
      </c>
    </row>
    <row r="235" spans="2:8" x14ac:dyDescent="0.25">
      <c r="B235" s="158" t="s">
        <v>12</v>
      </c>
      <c r="C235" s="159">
        <f>'2.10b Seawater Desal WTP&gt;25mgd'!C13</f>
        <v>0</v>
      </c>
      <c r="F235" s="61" t="s">
        <v>26</v>
      </c>
      <c r="G235" s="154">
        <f>'2.10b Seawater Desal WTP&gt;25mgd'!B10</f>
        <v>0</v>
      </c>
      <c r="H235" s="61" t="s">
        <v>8</v>
      </c>
    </row>
    <row r="236" spans="2:8" x14ac:dyDescent="0.25">
      <c r="B236" s="158" t="s">
        <v>11</v>
      </c>
      <c r="C236" s="159">
        <f>'2.10b Seawater Desal WTP&gt;25mgd'!C14</f>
        <v>0</v>
      </c>
    </row>
    <row r="237" spans="2:8" x14ac:dyDescent="0.25">
      <c r="B237" s="158" t="s">
        <v>110</v>
      </c>
      <c r="C237" s="159">
        <f>'2.10b Seawater Desal WTP&gt;25mgd'!C15</f>
        <v>0</v>
      </c>
    </row>
    <row r="238" spans="2:8" x14ac:dyDescent="0.25">
      <c r="B238" s="158" t="s">
        <v>20</v>
      </c>
      <c r="C238" s="159">
        <f>'2.10b Seawater Desal WTP&gt;25mgd'!C16</f>
        <v>0</v>
      </c>
    </row>
    <row r="239" spans="2:8" x14ac:dyDescent="0.25">
      <c r="B239" s="158" t="s">
        <v>21</v>
      </c>
      <c r="C239" s="159">
        <f>'2.10b Seawater Desal WTP&gt;25mgd'!C17</f>
        <v>0</v>
      </c>
      <c r="D239" s="61" t="s">
        <v>24</v>
      </c>
    </row>
    <row r="240" spans="2:8" x14ac:dyDescent="0.25">
      <c r="B240" s="158" t="s">
        <v>22</v>
      </c>
      <c r="C240" s="159">
        <f>'2.10b Seawater Desal WTP&gt;25mgd'!C18</f>
        <v>0</v>
      </c>
      <c r="D240" s="61" t="s">
        <v>24</v>
      </c>
    </row>
    <row r="241" spans="2:8" x14ac:dyDescent="0.25">
      <c r="B241" s="158" t="s">
        <v>30</v>
      </c>
      <c r="C241" s="159">
        <f>'2.10b Seawater Desal WTP&gt;25mgd'!C19</f>
        <v>0</v>
      </c>
      <c r="D241" s="61" t="s">
        <v>24</v>
      </c>
    </row>
    <row r="242" spans="2:8" ht="15.6" x14ac:dyDescent="0.3">
      <c r="B242" s="168" t="s">
        <v>23</v>
      </c>
      <c r="C242" s="169">
        <f>'2.10b Seawater Desal WTP&gt;25mgd'!C20</f>
        <v>0</v>
      </c>
      <c r="D242" s="157" t="s">
        <v>25</v>
      </c>
    </row>
    <row r="244" spans="2:8" ht="15.6" x14ac:dyDescent="0.3">
      <c r="B244" s="171" t="s">
        <v>103</v>
      </c>
      <c r="C244" s="61" t="s">
        <v>44</v>
      </c>
      <c r="D244" s="172">
        <f>'2.11.1 Mod to existing WWTP'!B8</f>
        <v>0</v>
      </c>
      <c r="E244" s="61" t="s">
        <v>8</v>
      </c>
      <c r="F244" s="61" t="s">
        <v>9</v>
      </c>
      <c r="G244" s="185">
        <f>'2.11.1 Mod to existing WWTP'!B9</f>
        <v>1.05</v>
      </c>
    </row>
    <row r="245" spans="2:8" x14ac:dyDescent="0.25">
      <c r="B245" s="158" t="s">
        <v>12</v>
      </c>
      <c r="C245" s="159">
        <f>'2.11.1 Mod to existing WWTP'!C13</f>
        <v>0</v>
      </c>
      <c r="F245" s="61" t="s">
        <v>26</v>
      </c>
      <c r="G245" s="154">
        <f>'2.11.1 Mod to existing WWTP'!B10</f>
        <v>0</v>
      </c>
      <c r="H245" s="61" t="s">
        <v>8</v>
      </c>
    </row>
    <row r="246" spans="2:8" x14ac:dyDescent="0.25">
      <c r="B246" s="158" t="s">
        <v>11</v>
      </c>
      <c r="C246" s="159">
        <f>'2.11.1 Mod to existing WWTP'!C14</f>
        <v>0</v>
      </c>
    </row>
    <row r="247" spans="2:8" x14ac:dyDescent="0.25">
      <c r="B247" s="158" t="s">
        <v>110</v>
      </c>
      <c r="C247" s="159">
        <f>'2.11.1 Mod to existing WWTP'!C15</f>
        <v>0</v>
      </c>
    </row>
    <row r="248" spans="2:8" x14ac:dyDescent="0.25">
      <c r="B248" s="158" t="s">
        <v>20</v>
      </c>
      <c r="C248" s="159">
        <f>'2.11.1 Mod to existing WWTP'!C16</f>
        <v>0</v>
      </c>
    </row>
    <row r="249" spans="2:8" x14ac:dyDescent="0.25">
      <c r="B249" s="158" t="s">
        <v>21</v>
      </c>
      <c r="C249" s="159">
        <f>'2.11.1 Mod to existing WWTP'!C17</f>
        <v>0</v>
      </c>
      <c r="D249" s="61" t="s">
        <v>24</v>
      </c>
    </row>
    <row r="250" spans="2:8" x14ac:dyDescent="0.25">
      <c r="B250" s="158" t="s">
        <v>22</v>
      </c>
      <c r="C250" s="159">
        <f>'2.11.1 Mod to existing WWTP'!C18</f>
        <v>0</v>
      </c>
      <c r="D250" s="61" t="s">
        <v>24</v>
      </c>
    </row>
    <row r="251" spans="2:8" x14ac:dyDescent="0.25">
      <c r="B251" s="158" t="s">
        <v>30</v>
      </c>
      <c r="C251" s="159">
        <f>'2.11.1 Mod to existing WWTP'!C19</f>
        <v>0</v>
      </c>
      <c r="D251" s="61" t="s">
        <v>24</v>
      </c>
    </row>
    <row r="252" spans="2:8" ht="15.6" x14ac:dyDescent="0.3">
      <c r="B252" s="168" t="s">
        <v>23</v>
      </c>
      <c r="C252" s="169">
        <f>'2.11.1 Mod to existing WWTP'!C20</f>
        <v>0</v>
      </c>
      <c r="D252" s="157" t="s">
        <v>25</v>
      </c>
    </row>
    <row r="254" spans="2:8" ht="15.6" x14ac:dyDescent="0.3">
      <c r="B254" s="171" t="s">
        <v>182</v>
      </c>
      <c r="C254" s="61" t="s">
        <v>44</v>
      </c>
      <c r="D254" s="172">
        <f>'2.12  Ponds &amp; Reservoirs'!B8</f>
        <v>0</v>
      </c>
      <c r="E254" s="61" t="s">
        <v>140</v>
      </c>
      <c r="F254" s="158" t="s">
        <v>119</v>
      </c>
      <c r="G254" s="186">
        <f>'2.12  Ponds &amp; Reservoirs'!B12</f>
        <v>0</v>
      </c>
      <c r="H254" s="183" t="s">
        <v>60</v>
      </c>
    </row>
    <row r="255" spans="2:8" ht="15.6" x14ac:dyDescent="0.3">
      <c r="B255" s="199"/>
      <c r="D255" s="182"/>
      <c r="F255" s="158"/>
      <c r="G255" s="187"/>
      <c r="H255" s="183"/>
    </row>
    <row r="256" spans="2:8" x14ac:dyDescent="0.25">
      <c r="B256" s="158" t="s">
        <v>12</v>
      </c>
      <c r="C256" s="159">
        <f>IF($G$254=0,0,(IF($G$254&lt;117,'2.12  Ponds &amp; Reservoirs'!C15,'2.12  Ponds &amp; Reservoirs'!E15)))</f>
        <v>0</v>
      </c>
    </row>
    <row r="257" spans="2:7" x14ac:dyDescent="0.25">
      <c r="B257" s="158" t="s">
        <v>11</v>
      </c>
      <c r="C257" s="159">
        <f>IF($G$254=0,0,(IF($G$254&lt;117,'2.12  Ponds &amp; Reservoirs'!C16,'2.12  Ponds &amp; Reservoirs'!E16)))</f>
        <v>0</v>
      </c>
    </row>
    <row r="258" spans="2:7" x14ac:dyDescent="0.25">
      <c r="B258" s="158" t="s">
        <v>110</v>
      </c>
      <c r="C258" s="159">
        <f>IF($G$254=0,0,(IF($G$254&lt;117,'2.12  Ponds &amp; Reservoirs'!C17,'2.12  Ponds &amp; Reservoirs'!E17)))</f>
        <v>0</v>
      </c>
    </row>
    <row r="259" spans="2:7" x14ac:dyDescent="0.25">
      <c r="B259" s="158" t="s">
        <v>20</v>
      </c>
      <c r="C259" s="159">
        <f>IF($G$254=0,0,(IF($G$254&lt;117,'2.12  Ponds &amp; Reservoirs'!C18,'2.12  Ponds &amp; Reservoirs'!E18)))</f>
        <v>0</v>
      </c>
    </row>
    <row r="260" spans="2:7" x14ac:dyDescent="0.25">
      <c r="B260" s="158" t="s">
        <v>21</v>
      </c>
      <c r="C260" s="159">
        <f>IF($G$254=0,0,(IF($G$254&lt;117,'2.12  Ponds &amp; Reservoirs'!C19,'2.12  Ponds &amp; Reservoirs'!E19)))</f>
        <v>0</v>
      </c>
      <c r="D260" s="61" t="s">
        <v>24</v>
      </c>
    </row>
    <row r="261" spans="2:7" x14ac:dyDescent="0.25">
      <c r="B261" s="158" t="s">
        <v>22</v>
      </c>
      <c r="C261" s="159">
        <f>IF($G$254=0,0,(IF($G$254&lt;117,'2.12  Ponds &amp; Reservoirs'!C20,'2.12  Ponds &amp; Reservoirs'!E20)))</f>
        <v>0</v>
      </c>
      <c r="D261" s="61" t="s">
        <v>24</v>
      </c>
    </row>
    <row r="262" spans="2:7" x14ac:dyDescent="0.25">
      <c r="B262" s="158" t="s">
        <v>30</v>
      </c>
      <c r="C262" s="159">
        <f>IF($G$254=0,0,(IF($G$254&lt;117,'2.12  Ponds &amp; Reservoirs'!C21,'2.12  Ponds &amp; Reservoirs'!E21)))</f>
        <v>0</v>
      </c>
      <c r="D262" s="61" t="s">
        <v>24</v>
      </c>
    </row>
    <row r="263" spans="2:7" ht="15.6" x14ac:dyDescent="0.3">
      <c r="B263" s="168" t="s">
        <v>23</v>
      </c>
      <c r="C263" s="169">
        <f>IF($G$254=0,0,(IF($G$254&lt;117,'2.12  Ponds &amp; Reservoirs'!C22,'2.12  Ponds &amp; Reservoirs'!E22)))</f>
        <v>0</v>
      </c>
      <c r="D263" s="157" t="s">
        <v>25</v>
      </c>
    </row>
    <row r="265" spans="2:7" ht="15.6" x14ac:dyDescent="0.3">
      <c r="B265" s="171" t="s">
        <v>104</v>
      </c>
      <c r="C265" s="61" t="s">
        <v>44</v>
      </c>
      <c r="D265" s="172">
        <f>'2.13 RIBs'!B8</f>
        <v>0</v>
      </c>
      <c r="E265" s="61" t="s">
        <v>8</v>
      </c>
      <c r="G265" s="188"/>
    </row>
    <row r="266" spans="2:7" x14ac:dyDescent="0.25">
      <c r="B266" s="158" t="s">
        <v>12</v>
      </c>
      <c r="C266" s="159">
        <f>'2.13 RIBs'!C13</f>
        <v>0</v>
      </c>
    </row>
    <row r="267" spans="2:7" x14ac:dyDescent="0.25">
      <c r="B267" s="158" t="s">
        <v>11</v>
      </c>
      <c r="C267" s="159">
        <f>'2.13 RIBs'!C14</f>
        <v>0</v>
      </c>
    </row>
    <row r="268" spans="2:7" x14ac:dyDescent="0.25">
      <c r="B268" s="158" t="s">
        <v>110</v>
      </c>
      <c r="C268" s="159">
        <f>'2.13 RIBs'!C15</f>
        <v>0</v>
      </c>
    </row>
    <row r="269" spans="2:7" x14ac:dyDescent="0.25">
      <c r="B269" s="158" t="s">
        <v>20</v>
      </c>
      <c r="C269" s="159">
        <f>'2.13 RIBs'!C16</f>
        <v>0</v>
      </c>
    </row>
    <row r="270" spans="2:7" x14ac:dyDescent="0.25">
      <c r="B270" s="158" t="s">
        <v>21</v>
      </c>
      <c r="C270" s="159">
        <f>'2.13 RIBs'!C17</f>
        <v>0</v>
      </c>
      <c r="D270" s="61" t="s">
        <v>24</v>
      </c>
    </row>
    <row r="271" spans="2:7" x14ac:dyDescent="0.25">
      <c r="B271" s="158" t="s">
        <v>22</v>
      </c>
      <c r="C271" s="159">
        <f>'2.13 RIBs'!C18</f>
        <v>0</v>
      </c>
      <c r="D271" s="61" t="s">
        <v>24</v>
      </c>
    </row>
    <row r="272" spans="2:7" x14ac:dyDescent="0.25">
      <c r="B272" s="158" t="s">
        <v>30</v>
      </c>
      <c r="C272" s="159">
        <f>'2.13 RIBs'!C19</f>
        <v>0</v>
      </c>
      <c r="D272" s="61" t="s">
        <v>24</v>
      </c>
    </row>
    <row r="273" spans="2:8" ht="15.6" x14ac:dyDescent="0.3">
      <c r="B273" s="168" t="s">
        <v>23</v>
      </c>
      <c r="C273" s="169">
        <f>'2.13 RIBs'!C20</f>
        <v>0</v>
      </c>
      <c r="D273" s="157" t="s">
        <v>25</v>
      </c>
    </row>
    <row r="275" spans="2:8" ht="15.6" x14ac:dyDescent="0.3">
      <c r="B275" s="171" t="s">
        <v>105</v>
      </c>
      <c r="C275" s="61" t="s">
        <v>44</v>
      </c>
      <c r="D275" s="172">
        <f>'2.14 SW Intake'!B8</f>
        <v>0</v>
      </c>
      <c r="E275" s="61" t="s">
        <v>8</v>
      </c>
      <c r="F275" s="61" t="s">
        <v>9</v>
      </c>
      <c r="G275" s="172">
        <f>'2.14 SW Intake'!B9</f>
        <v>1.5</v>
      </c>
    </row>
    <row r="276" spans="2:8" x14ac:dyDescent="0.25">
      <c r="B276" s="158" t="s">
        <v>12</v>
      </c>
      <c r="C276" s="159">
        <f>'2.14 SW Intake'!C13</f>
        <v>0</v>
      </c>
      <c r="F276" s="61" t="s">
        <v>26</v>
      </c>
      <c r="G276" s="154">
        <f>'2.14 SW Intake'!B10</f>
        <v>0</v>
      </c>
      <c r="H276" s="61" t="s">
        <v>8</v>
      </c>
    </row>
    <row r="277" spans="2:8" x14ac:dyDescent="0.25">
      <c r="B277" s="158" t="s">
        <v>11</v>
      </c>
      <c r="C277" s="159">
        <f>'2.14 SW Intake'!C14</f>
        <v>0</v>
      </c>
    </row>
    <row r="278" spans="2:8" x14ac:dyDescent="0.25">
      <c r="B278" s="158" t="s">
        <v>110</v>
      </c>
      <c r="C278" s="159">
        <f>'2.14 SW Intake'!C15</f>
        <v>0</v>
      </c>
    </row>
    <row r="279" spans="2:8" x14ac:dyDescent="0.25">
      <c r="B279" s="158" t="s">
        <v>20</v>
      </c>
      <c r="C279" s="159">
        <f>'2.14 SW Intake'!C16</f>
        <v>0</v>
      </c>
    </row>
    <row r="280" spans="2:8" x14ac:dyDescent="0.25">
      <c r="B280" s="158" t="s">
        <v>21</v>
      </c>
      <c r="C280" s="159">
        <f>'2.14 SW Intake'!C17</f>
        <v>0</v>
      </c>
      <c r="D280" s="61" t="s">
        <v>24</v>
      </c>
    </row>
    <row r="281" spans="2:8" x14ac:dyDescent="0.25">
      <c r="B281" s="158" t="s">
        <v>22</v>
      </c>
      <c r="C281" s="159">
        <f>'2.14 SW Intake'!C18</f>
        <v>0</v>
      </c>
      <c r="D281" s="61" t="s">
        <v>24</v>
      </c>
    </row>
    <row r="282" spans="2:8" x14ac:dyDescent="0.25">
      <c r="B282" s="158" t="s">
        <v>30</v>
      </c>
      <c r="C282" s="159">
        <f>'2.14 SW Intake'!C19</f>
        <v>0</v>
      </c>
      <c r="D282" s="61" t="s">
        <v>24</v>
      </c>
    </row>
    <row r="283" spans="2:8" ht="15.6" x14ac:dyDescent="0.3">
      <c r="B283" s="168" t="s">
        <v>23</v>
      </c>
      <c r="C283" s="169">
        <f>'2.14 SW Intake'!C20</f>
        <v>0</v>
      </c>
      <c r="D283" s="157" t="s">
        <v>25</v>
      </c>
    </row>
    <row r="285" spans="2:8" ht="15.6" x14ac:dyDescent="0.3">
      <c r="B285" s="171" t="s">
        <v>106</v>
      </c>
      <c r="C285" s="61" t="s">
        <v>44</v>
      </c>
      <c r="D285" s="172">
        <f>'2.15 Injection Well syst LFA'!B8</f>
        <v>0</v>
      </c>
      <c r="E285" s="61" t="s">
        <v>8</v>
      </c>
      <c r="F285" s="61" t="s">
        <v>9</v>
      </c>
      <c r="G285" s="172">
        <f>'2.15 Injection Well syst LFA'!B9</f>
        <v>1.5</v>
      </c>
    </row>
    <row r="286" spans="2:8" x14ac:dyDescent="0.25">
      <c r="B286" s="158" t="s">
        <v>12</v>
      </c>
      <c r="C286" s="159">
        <f>'2.15 Injection Well syst LFA'!C13</f>
        <v>0</v>
      </c>
      <c r="F286" s="61" t="s">
        <v>26</v>
      </c>
      <c r="G286" s="154">
        <f>'2.15 Injection Well syst LFA'!B10</f>
        <v>0</v>
      </c>
      <c r="H286" s="61" t="s">
        <v>8</v>
      </c>
    </row>
    <row r="287" spans="2:8" x14ac:dyDescent="0.25">
      <c r="B287" s="158" t="s">
        <v>11</v>
      </c>
      <c r="C287" s="159">
        <f>'2.15 Injection Well syst LFA'!C14</f>
        <v>0</v>
      </c>
    </row>
    <row r="288" spans="2:8" x14ac:dyDescent="0.25">
      <c r="B288" s="158" t="s">
        <v>110</v>
      </c>
      <c r="C288" s="159">
        <f>'2.15 Injection Well syst LFA'!C15</f>
        <v>0</v>
      </c>
    </row>
    <row r="289" spans="2:9" x14ac:dyDescent="0.25">
      <c r="B289" s="158" t="s">
        <v>20</v>
      </c>
      <c r="C289" s="159">
        <f>'2.15 Injection Well syst LFA'!C16</f>
        <v>0</v>
      </c>
    </row>
    <row r="290" spans="2:9" x14ac:dyDescent="0.25">
      <c r="B290" s="158" t="s">
        <v>21</v>
      </c>
      <c r="C290" s="159">
        <f>'2.15 Injection Well syst LFA'!C17</f>
        <v>0</v>
      </c>
      <c r="D290" s="61" t="s">
        <v>24</v>
      </c>
    </row>
    <row r="291" spans="2:9" x14ac:dyDescent="0.25">
      <c r="B291" s="158" t="s">
        <v>22</v>
      </c>
      <c r="C291" s="159">
        <f>'2.15 Injection Well syst LFA'!C18</f>
        <v>0</v>
      </c>
      <c r="D291" s="61" t="s">
        <v>24</v>
      </c>
    </row>
    <row r="292" spans="2:9" x14ac:dyDescent="0.25">
      <c r="B292" s="158" t="s">
        <v>30</v>
      </c>
      <c r="C292" s="159">
        <f>'2.15 Injection Well syst LFA'!C19</f>
        <v>0</v>
      </c>
      <c r="D292" s="61" t="s">
        <v>24</v>
      </c>
    </row>
    <row r="293" spans="2:9" ht="15.6" x14ac:dyDescent="0.3">
      <c r="B293" s="168" t="s">
        <v>23</v>
      </c>
      <c r="C293" s="169">
        <f>'2.15 Injection Well syst LFA'!C20</f>
        <v>0</v>
      </c>
      <c r="D293" s="157" t="s">
        <v>25</v>
      </c>
    </row>
    <row r="295" spans="2:9" ht="15.6" x14ac:dyDescent="0.3">
      <c r="B295" s="171" t="s">
        <v>107</v>
      </c>
      <c r="C295" s="181" t="s">
        <v>179</v>
      </c>
      <c r="G295" s="189" t="s">
        <v>133</v>
      </c>
      <c r="H295" s="172">
        <f>'ASR MW'!B8</f>
        <v>0</v>
      </c>
      <c r="I295" s="61" t="s">
        <v>8</v>
      </c>
    </row>
    <row r="296" spans="2:9" x14ac:dyDescent="0.25">
      <c r="B296" s="158" t="s">
        <v>12</v>
      </c>
      <c r="C296" s="159">
        <f>'ASR MW'!I13</f>
        <v>0</v>
      </c>
      <c r="F296" s="173" t="s">
        <v>131</v>
      </c>
      <c r="G296" s="197" t="s">
        <v>130</v>
      </c>
      <c r="H296" s="175" t="s">
        <v>132</v>
      </c>
    </row>
    <row r="297" spans="2:9" ht="15.6" x14ac:dyDescent="0.3">
      <c r="B297" s="158" t="s">
        <v>11</v>
      </c>
      <c r="C297" s="159">
        <f>'ASR MW'!I14</f>
        <v>0</v>
      </c>
      <c r="F297" s="172">
        <f>'ASR MW'!B24</f>
        <v>0</v>
      </c>
      <c r="G297" s="172">
        <f>'ASR MW'!C24</f>
        <v>0</v>
      </c>
      <c r="H297" s="172">
        <f>'ASR MW'!D24</f>
        <v>0</v>
      </c>
      <c r="I297" s="61"/>
    </row>
    <row r="298" spans="2:9" ht="15.6" x14ac:dyDescent="0.3">
      <c r="B298" s="158" t="s">
        <v>110</v>
      </c>
      <c r="C298" s="159">
        <f>'ASR MW'!I15</f>
        <v>0</v>
      </c>
      <c r="F298" s="172">
        <f>'ASR MW'!B25</f>
        <v>0</v>
      </c>
      <c r="G298" s="172">
        <f>'ASR MW'!C25</f>
        <v>0</v>
      </c>
      <c r="H298" s="172">
        <f>'ASR MW'!D25</f>
        <v>0</v>
      </c>
      <c r="I298" s="61"/>
    </row>
    <row r="299" spans="2:9" ht="15.6" x14ac:dyDescent="0.3">
      <c r="B299" s="158" t="s">
        <v>20</v>
      </c>
      <c r="C299" s="159">
        <f>'ASR MW'!I16</f>
        <v>0</v>
      </c>
      <c r="F299" s="172">
        <f>'ASR MW'!B26</f>
        <v>0</v>
      </c>
      <c r="G299" s="172">
        <f>'ASR MW'!C26</f>
        <v>0</v>
      </c>
      <c r="H299" s="172">
        <f>'ASR MW'!D26</f>
        <v>0</v>
      </c>
    </row>
    <row r="300" spans="2:9" ht="15.6" x14ac:dyDescent="0.3">
      <c r="B300" s="158" t="s">
        <v>21</v>
      </c>
      <c r="C300" s="159">
        <f>'ASR MW'!I17</f>
        <v>0</v>
      </c>
      <c r="D300" s="61" t="s">
        <v>24</v>
      </c>
      <c r="F300" s="172">
        <f>'ASR MW'!B27</f>
        <v>0</v>
      </c>
      <c r="G300" s="172">
        <f>'ASR MW'!C27</f>
        <v>0</v>
      </c>
      <c r="H300" s="172">
        <f>'ASR MW'!D27</f>
        <v>0</v>
      </c>
    </row>
    <row r="301" spans="2:9" ht="15.6" x14ac:dyDescent="0.3">
      <c r="B301" s="158" t="s">
        <v>22</v>
      </c>
      <c r="C301" s="159">
        <f>'ASR MW'!I18</f>
        <v>0</v>
      </c>
      <c r="D301" s="61" t="s">
        <v>24</v>
      </c>
      <c r="F301" s="172">
        <f>'ASR MW'!B28</f>
        <v>0</v>
      </c>
      <c r="G301" s="172">
        <f>'ASR MW'!C28</f>
        <v>0</v>
      </c>
      <c r="H301" s="172">
        <f>'ASR MW'!D28</f>
        <v>0</v>
      </c>
    </row>
    <row r="302" spans="2:9" x14ac:dyDescent="0.25">
      <c r="B302" s="158" t="s">
        <v>30</v>
      </c>
      <c r="C302" s="159">
        <f>'ASR MW'!I19</f>
        <v>0</v>
      </c>
      <c r="D302" s="61" t="s">
        <v>24</v>
      </c>
    </row>
    <row r="303" spans="2:9" ht="15.6" x14ac:dyDescent="0.3">
      <c r="B303" s="168" t="s">
        <v>23</v>
      </c>
      <c r="C303" s="169">
        <f>'ASR MW'!I20</f>
        <v>0</v>
      </c>
      <c r="D303" s="157" t="s">
        <v>25</v>
      </c>
    </row>
    <row r="305" spans="2:9" ht="15.6" x14ac:dyDescent="0.3">
      <c r="B305" s="171" t="s">
        <v>138</v>
      </c>
      <c r="C305" s="190"/>
      <c r="D305" s="190"/>
      <c r="E305" s="190"/>
      <c r="F305" s="190"/>
    </row>
    <row r="306" spans="2:9" x14ac:dyDescent="0.25">
      <c r="B306" s="158" t="s">
        <v>12</v>
      </c>
      <c r="C306" s="191">
        <f>'Proj Known costs'!B6</f>
        <v>0</v>
      </c>
      <c r="F306" s="61" t="s">
        <v>44</v>
      </c>
      <c r="G306" s="192">
        <f>'Proj Known costs'!F6</f>
        <v>0</v>
      </c>
      <c r="H306" s="61" t="s">
        <v>8</v>
      </c>
    </row>
    <row r="307" spans="2:9" x14ac:dyDescent="0.25">
      <c r="B307" s="158" t="s">
        <v>11</v>
      </c>
      <c r="C307" s="193">
        <f>C306*0.2</f>
        <v>0</v>
      </c>
      <c r="F307" s="61" t="s">
        <v>26</v>
      </c>
      <c r="G307" s="192">
        <f>'Proj Known costs'!F7</f>
        <v>0</v>
      </c>
      <c r="H307" s="61" t="s">
        <v>8</v>
      </c>
    </row>
    <row r="308" spans="2:9" x14ac:dyDescent="0.25">
      <c r="B308" s="158" t="s">
        <v>110</v>
      </c>
      <c r="C308" s="191">
        <f>'Proj Known costs'!B8</f>
        <v>0</v>
      </c>
      <c r="F308" s="61" t="s">
        <v>13</v>
      </c>
      <c r="G308" s="194">
        <f>'Proj Known costs'!F8</f>
        <v>30</v>
      </c>
      <c r="H308" s="61" t="s">
        <v>14</v>
      </c>
    </row>
    <row r="309" spans="2:9" x14ac:dyDescent="0.25">
      <c r="B309" s="158" t="s">
        <v>20</v>
      </c>
      <c r="C309" s="195">
        <f>SUM(C306:C308)</f>
        <v>0</v>
      </c>
      <c r="F309" s="61" t="s">
        <v>141</v>
      </c>
      <c r="I309" s="198" t="str">
        <f>'Proj Known costs'!F10</f>
        <v>enter</v>
      </c>
    </row>
    <row r="310" spans="2:9" x14ac:dyDescent="0.25">
      <c r="B310" s="158" t="s">
        <v>21</v>
      </c>
      <c r="C310" s="193">
        <f>C309*(VLOOKUP(G308,$O$6:$Q$10,3,TRUE))</f>
        <v>0</v>
      </c>
      <c r="D310" s="61" t="s">
        <v>24</v>
      </c>
    </row>
    <row r="311" spans="2:9" x14ac:dyDescent="0.25">
      <c r="B311" s="158" t="s">
        <v>22</v>
      </c>
      <c r="C311" s="191">
        <f>'Proj Known costs'!B11</f>
        <v>0</v>
      </c>
      <c r="D311" s="61" t="s">
        <v>24</v>
      </c>
      <c r="E311" s="61" t="s">
        <v>139</v>
      </c>
    </row>
    <row r="312" spans="2:9" x14ac:dyDescent="0.25">
      <c r="B312" s="158" t="s">
        <v>30</v>
      </c>
      <c r="C312" s="193">
        <f>C310+C311</f>
        <v>0</v>
      </c>
      <c r="D312" s="61" t="s">
        <v>24</v>
      </c>
    </row>
    <row r="313" spans="2:9" ht="15.6" x14ac:dyDescent="0.3">
      <c r="B313" s="168" t="s">
        <v>23</v>
      </c>
      <c r="C313" s="196">
        <f>IF(G306=0,0,(C312/(G306*1000*365)))</f>
        <v>0</v>
      </c>
      <c r="D313" s="157" t="s">
        <v>25</v>
      </c>
    </row>
  </sheetData>
  <sheetProtection algorithmName="SHA-512" hashValue="wYmR34bNm67s1AWZIs21Mnc53G8aQWRtLRazQWMxU3U2znUlRjQh/bweAMa6DTnDP7kwuEEograaNkHd+hsFWQ==" saltValue="HzThuX13fldh3umT6JnrzQ==" spinCount="100000" sheet="1" selectLockedCells="1"/>
  <mergeCells count="1">
    <mergeCell ref="B2:J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5.1093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IF(B8=0,0,(($B$4/8005)*(384800+290700*$B$10)))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d2DRRCUwoRzsHWi+UkBfa4/S6pLfAd9P9EKwb++L8QdJqFzWOcQmbKZvnRecw0yiqM3rP79iPVt2KL4+5I7wVQ==" saltValue="GTaDEPeoXfa5Y6yHaNiHKA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44140625" style="1" customWidth="1"/>
    <col min="4" max="4" width="9.44140625" style="1" bestFit="1" customWidth="1"/>
    <col min="5" max="5" width="17" style="1" customWidth="1"/>
    <col min="6" max="6" width="11" style="1" bestFit="1" customWidth="1"/>
    <col min="7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1.25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0.8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IF(B8=0,0,($B$4/8005)*(526300+397600*$B$10))</f>
        <v>0</v>
      </c>
      <c r="E13" s="9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bw/jr4nBAR8eGfNlOr73bpRYqUf8JS6chRiHn84bCk0AVMKkBmZyY+aBD6ee5Qu4lf/AbAjYybvZC0sKXgsAgw==" saltValue="jjlbOu83ZJXmzbmZVzYhkQ==" spinCount="100000" sheet="1" objects="1" scenarios="1" selectLockedCell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9" sqref="B9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0.2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IF(B8=0,0,(($B$4/8005)*(144000+755800*$B$10)))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IF(B8=0,0,(($B$4/8005)*(26600+13840*$B$10)))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4CQdEy4SUZp+f7VSKKBdCGJXrrujk0N34RtS1Pe3YVx+EIzdlltkkfdblvVlU3KYQetIHadeNoVxCIE9129Dcw==" saltValue="pXwzER4jR3cQhaQde6AFEQ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86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  <c r="E4" s="12" t="s">
        <v>172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20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IF(B8=0,0,(($B$4/9702)*(543079+45176*$B$10)))</f>
        <v>0</v>
      </c>
      <c r="F13" s="1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IF(B8=0,0,(($B$4/8005)*(2700+420*$B$10+$F$9*301500*$B$8)))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JBi5iYPAJlt7qRhX3rjDHi9IItDuyIVvY7CLDuYB1q5DJ/fELDqGj+Sp8X82h9u6b34QDCC2zA3bmsq9q5dfkQ==" saltValue="5u3dYFtzC4oOIw3zBPvyyg==" spinCount="100000" sheet="1" objects="1" scenarios="1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87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IF(B8=0,0,(($B$4/8005)*(571200+30180*$B$10^0.7932)))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IF(B8=0,0,(($B$4/8005)*(4380*$B$10^0.116+897*$B$8)))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u7Op+nR6v3QG3kmYCe3k5tr8hXrMCtwDIHA+YVFCYObxEmcW/8XnF+2sab4Lgc6sRm5gq91aHnvt1I+UGTtVA==" saltValue="TMJWYWpeUH/Wl9k0cWqXFw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7.1093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80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1.25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E10" s="1" t="s">
        <v>31</v>
      </c>
      <c r="F10" s="92">
        <v>1500</v>
      </c>
      <c r="G10" s="1" t="s">
        <v>32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0.8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IF(B8=0,0,(($B$4/8005)*((2765100*$F$10^0.1248)*($B$10^0.7031))))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IF(B8=0,0,(($B$4/8005)*((309900*$F$10^0.0648*$B$10^0.609)+(3479*$F$10^0.2961*$B$8)+($F$9*40000*$F$10^0.4739*$B$8))))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s1p7lc1HLo2FTl5fqbcKhGE1Hr8RLlBmCE69Ou8r5QxCrl1fo2PCkUO//xGOzAvfWqJ/M0POEiNXjlLxOCYrQ==" saltValue="saJni0z6zzSqfZqrJpzfzg==" spinCount="100000" sheet="1" objects="1" scenarios="1" select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8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81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IF(B8=0,0,(($B$4/8005)*(10970000+(3031000*$B$10^0.824))))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IF(B8=0,0,(($B$4/8005)*(247600+(360100*LN($B$10))+(63150+$F$9*557700*$B$8))))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OSR0aTcx3lSD6M6VJ9XgTwQBjEj4VcnaK0fYqI5C+Z8pPJEQdHHN9rHL9RjgaqKj7LbqCnbHbXVded66cupzWg==" saltValue="An+CCqXlGU0sSfBb6O7xaw==" spinCount="100000" sheet="1" select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IF(B8=0,0,(($B$4/8005)*(26012000+4313000*$B$10)))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IF(B8=0,0,(($B$4/8005)*(598300*$B$10^0.6704+(114700+$F$9*1333800*$B$8))))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DOQqHkdnkbv0v4Z+E5ISf5r2/3Ie3UZajEjv9gyj+zYB3wf5ig6MVmMQmQTPJib7W6H9GyoA/UD/MxXGIoB8sw==" saltValue="6ar6ZnW4YAl9ksAvIClFNQ==" spinCount="100000" sheet="1" select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2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IF(B8=0,0,(($B$4/8005)*(12075000+1326100*$B$10)))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IF(B8=0,0,(($B$4/8005)*(411500+21070*$B$10+(49160+$F$9*527600*$B$8))))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oW2XlIZtUhPwhHTEDPgULLxv4I1n6GXe1ZzpRXXAUD2owOe7YxgnH/wtLSDwgPxbB8tKpwd7wdU0oEXO4u9kxg==" saltValue="RjSWsoWIWKt1mcWdJPf7HQ==" spinCount="100000" sheet="1" objects="1" scenarios="1"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145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IF(B8=0,0,(($B$4/8005)*(38720000*$B$10^0.6559)))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xuj0hThuiGjl5WNfvRS6mbmXy8gAtw78oaBCyGNbSoXDEiAjrjws5oj6wXjT/FTxOsw1Z31tp9u+XDYupFLOng==" saltValue="sJ5+BMpCVurwBz9P3+K0r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4" sqref="A4"/>
    </sheetView>
  </sheetViews>
  <sheetFormatPr defaultColWidth="8.88671875" defaultRowHeight="13.8" x14ac:dyDescent="0.25"/>
  <cols>
    <col min="1" max="12" width="8.88671875" style="1"/>
    <col min="13" max="13" width="3.5546875" style="1" customWidth="1"/>
    <col min="14" max="16384" width="8.88671875" style="1"/>
  </cols>
  <sheetData>
    <row r="1" spans="1:14" x14ac:dyDescent="0.25">
      <c r="A1" s="1" t="s">
        <v>33</v>
      </c>
    </row>
    <row r="2" spans="1:14" ht="14.4" x14ac:dyDescent="0.3">
      <c r="A2" s="1" t="s">
        <v>34</v>
      </c>
      <c r="L2" s="18"/>
    </row>
    <row r="3" spans="1:14" ht="14.4" x14ac:dyDescent="0.3">
      <c r="A3" s="18" t="s">
        <v>190</v>
      </c>
    </row>
    <row r="5" spans="1:14" x14ac:dyDescent="0.25">
      <c r="A5" s="19" t="s">
        <v>4</v>
      </c>
    </row>
    <row r="6" spans="1:14" x14ac:dyDescent="0.25">
      <c r="A6" s="1" t="s">
        <v>5</v>
      </c>
    </row>
    <row r="7" spans="1:14" x14ac:dyDescent="0.25">
      <c r="A7" s="1" t="s">
        <v>16</v>
      </c>
    </row>
    <row r="8" spans="1:14" x14ac:dyDescent="0.25">
      <c r="A8" s="1" t="s">
        <v>15</v>
      </c>
    </row>
    <row r="9" spans="1:14" x14ac:dyDescent="0.25">
      <c r="A9" s="1" t="s">
        <v>171</v>
      </c>
    </row>
    <row r="11" spans="1:14" x14ac:dyDescent="0.25">
      <c r="A11" s="1" t="s">
        <v>35</v>
      </c>
      <c r="J11" s="20" t="s">
        <v>59</v>
      </c>
      <c r="K11" s="21"/>
      <c r="L11" s="21"/>
      <c r="M11" s="21"/>
      <c r="N11" s="22"/>
    </row>
    <row r="12" spans="1:14" x14ac:dyDescent="0.25">
      <c r="A12" s="1" t="s">
        <v>36</v>
      </c>
    </row>
    <row r="13" spans="1:14" x14ac:dyDescent="0.25">
      <c r="A13" s="1" t="s">
        <v>37</v>
      </c>
    </row>
    <row r="15" spans="1:14" x14ac:dyDescent="0.25">
      <c r="A15" s="1" t="s">
        <v>38</v>
      </c>
    </row>
    <row r="16" spans="1:14" x14ac:dyDescent="0.25">
      <c r="A16" s="1" t="s">
        <v>39</v>
      </c>
    </row>
    <row r="17" spans="1:1" x14ac:dyDescent="0.25">
      <c r="A17" s="1" t="s">
        <v>40</v>
      </c>
    </row>
    <row r="19" spans="1:1" x14ac:dyDescent="0.25">
      <c r="A19" s="1" t="s">
        <v>41</v>
      </c>
    </row>
    <row r="20" spans="1:1" x14ac:dyDescent="0.25">
      <c r="A20" s="1" t="s">
        <v>42</v>
      </c>
    </row>
    <row r="21" spans="1:1" x14ac:dyDescent="0.25">
      <c r="A21" s="1" t="s">
        <v>43</v>
      </c>
    </row>
    <row r="23" spans="1:1" x14ac:dyDescent="0.25">
      <c r="A23" s="19" t="s">
        <v>45</v>
      </c>
    </row>
    <row r="24" spans="1:1" x14ac:dyDescent="0.25">
      <c r="A24" s="1" t="s">
        <v>46</v>
      </c>
    </row>
    <row r="25" spans="1:1" x14ac:dyDescent="0.25">
      <c r="A25" s="1" t="s">
        <v>47</v>
      </c>
    </row>
    <row r="26" spans="1:1" x14ac:dyDescent="0.25">
      <c r="A26" s="1" t="s">
        <v>48</v>
      </c>
    </row>
    <row r="27" spans="1:1" x14ac:dyDescent="0.25">
      <c r="A27" s="1" t="s">
        <v>49</v>
      </c>
    </row>
    <row r="28" spans="1:1" x14ac:dyDescent="0.25">
      <c r="A28" s="1" t="s">
        <v>50</v>
      </c>
    </row>
    <row r="29" spans="1:1" x14ac:dyDescent="0.25">
      <c r="A29" s="1" t="s">
        <v>51</v>
      </c>
    </row>
    <row r="30" spans="1:1" x14ac:dyDescent="0.25">
      <c r="A30" s="1" t="s">
        <v>52</v>
      </c>
    </row>
    <row r="31" spans="1:1" x14ac:dyDescent="0.25">
      <c r="A31" s="1" t="s">
        <v>57</v>
      </c>
    </row>
    <row r="32" spans="1:1" x14ac:dyDescent="0.25">
      <c r="A32" s="1" t="s">
        <v>58</v>
      </c>
    </row>
    <row r="33" spans="1:1" x14ac:dyDescent="0.25">
      <c r="A33" s="1" t="s">
        <v>53</v>
      </c>
    </row>
    <row r="34" spans="1:1" x14ac:dyDescent="0.25">
      <c r="A34" s="1" t="s">
        <v>54</v>
      </c>
    </row>
    <row r="35" spans="1:1" x14ac:dyDescent="0.25">
      <c r="A35" s="1" t="s">
        <v>63</v>
      </c>
    </row>
    <row r="36" spans="1:1" x14ac:dyDescent="0.25">
      <c r="A36" s="1" t="s">
        <v>64</v>
      </c>
    </row>
    <row r="37" spans="1:1" x14ac:dyDescent="0.25">
      <c r="A37" s="1" t="s">
        <v>56</v>
      </c>
    </row>
    <row r="38" spans="1:1" x14ac:dyDescent="0.25">
      <c r="A38" s="1" t="s">
        <v>55</v>
      </c>
    </row>
    <row r="39" spans="1:1" x14ac:dyDescent="0.25">
      <c r="A39" s="1" t="s">
        <v>62</v>
      </c>
    </row>
  </sheetData>
  <sheetProtection selectLockedCells="1"/>
  <hyperlinks>
    <hyperlink ref="A3" r:id="rId1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144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IF(B8=0,0,(($B$4/8005)*(31643000*$B$10^0.7203)))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REgcj1CvnKTF2jhhAulCnJmWvFlPYAchBAwZZN0PPOHMu8UBrU/6Oi0ICqW4K98iXu3UleuXYhuLLMZ7lUPww==" saltValue="RUUZQK1OWKXKnCNELo0PUw==" spinCount="100000" sheet="1" objects="1" scenarios="1" select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IF(B8=0,0,(($B$4/8005)*(623446*$B$10^0.6379)))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IF(B8=0,0,(($B$4/8005)*((5770.8+1193.2*$B$10))))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ktVbs0ILNzMk9R2iVjkqhH2mwSNYam/C2x7S7VEk/wcPNjpIcKl3iIny1eHB0yooKAWf8ILxMXLowwxBOOrYtA==" saltValue="s7dozVzj2cCY8eKR2FxN2Q==" spinCount="100000" sheet="1" objects="1" scenarios="1" select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12" sqref="B12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6640625" style="1" customWidth="1"/>
    <col min="4" max="4" width="9.44140625" style="1" bestFit="1" customWidth="1"/>
    <col min="5" max="5" width="17" style="1" customWidth="1"/>
    <col min="6" max="6" width="8.88671875" style="1"/>
    <col min="7" max="7" width="12.109375" style="1" bestFit="1" customWidth="1"/>
    <col min="8" max="8" width="8.88671875" style="1"/>
    <col min="9" max="9" width="12.109375" style="1" bestFit="1" customWidth="1"/>
    <col min="10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182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/>
      <c r="B9" s="141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B10" s="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B11" s="5"/>
      <c r="K11" s="1" t="s">
        <v>19</v>
      </c>
      <c r="M11" s="16">
        <f>$M$5/100</f>
        <v>2.75E-2</v>
      </c>
    </row>
    <row r="12" spans="1:13" x14ac:dyDescent="0.25">
      <c r="A12" s="1" t="s">
        <v>120</v>
      </c>
      <c r="B12" s="142"/>
      <c r="C12" s="1" t="s">
        <v>60</v>
      </c>
      <c r="E12" s="82"/>
      <c r="F12" s="83"/>
      <c r="G12" s="82"/>
    </row>
    <row r="13" spans="1:13" x14ac:dyDescent="0.25">
      <c r="B13" s="83"/>
    </row>
    <row r="14" spans="1:13" x14ac:dyDescent="0.25">
      <c r="C14" s="1" t="s">
        <v>146</v>
      </c>
      <c r="E14" s="1" t="s">
        <v>147</v>
      </c>
    </row>
    <row r="15" spans="1:13" x14ac:dyDescent="0.25">
      <c r="A15" s="1" t="s">
        <v>12</v>
      </c>
      <c r="C15" s="9">
        <f>IF($B$8=0,0,(IF($B$12&lt;117,($B$4/8005)*(375470*$B$12^0.9196),0)))</f>
        <v>0</v>
      </c>
      <c r="E15" s="9">
        <f>IF($B$8=0,0,(IF($B$12&gt;117,($B$4/8005)*(28507000+9688*$B$12),0)))</f>
        <v>0</v>
      </c>
    </row>
    <row r="16" spans="1:13" x14ac:dyDescent="0.25">
      <c r="A16" s="1" t="s">
        <v>11</v>
      </c>
      <c r="C16" s="9">
        <f>C15*0.2</f>
        <v>0</v>
      </c>
      <c r="E16" s="9">
        <f>E15*0.2</f>
        <v>0</v>
      </c>
    </row>
    <row r="17" spans="1:6" x14ac:dyDescent="0.25">
      <c r="A17" s="1" t="s">
        <v>71</v>
      </c>
      <c r="C17" s="80"/>
      <c r="E17" s="80"/>
    </row>
    <row r="18" spans="1:6" x14ac:dyDescent="0.25">
      <c r="A18" s="1" t="s">
        <v>20</v>
      </c>
      <c r="C18" s="9">
        <f>SUM(C15:C17)</f>
        <v>0</v>
      </c>
      <c r="E18" s="9">
        <f>SUM(E15:E17)</f>
        <v>0</v>
      </c>
    </row>
    <row r="19" spans="1:6" x14ac:dyDescent="0.25">
      <c r="A19" s="1" t="s">
        <v>21</v>
      </c>
      <c r="C19" s="9">
        <f>$C$18*(VLOOKUP($F$8,$K$6:$M$10,3,TRUE))</f>
        <v>0</v>
      </c>
      <c r="D19" s="1" t="s">
        <v>24</v>
      </c>
      <c r="E19" s="9">
        <f>$E$18*(VLOOKUP($F$8,$K$6:$M$10,3,TRUE))</f>
        <v>0</v>
      </c>
      <c r="F19" s="1" t="s">
        <v>24</v>
      </c>
    </row>
    <row r="20" spans="1:6" x14ac:dyDescent="0.25">
      <c r="A20" s="1" t="s">
        <v>22</v>
      </c>
      <c r="C20" s="9">
        <f>IF($C$15=0,0,(($B$4/8005)*((126*$B$12))))</f>
        <v>0</v>
      </c>
      <c r="D20" s="1" t="s">
        <v>24</v>
      </c>
      <c r="E20" s="9">
        <f>IF($E$15=0,0,(($B$4/8005)*((126*$B$12))))</f>
        <v>0</v>
      </c>
      <c r="F20" s="1" t="s">
        <v>24</v>
      </c>
    </row>
    <row r="21" spans="1:6" x14ac:dyDescent="0.25">
      <c r="A21" s="1" t="s">
        <v>30</v>
      </c>
      <c r="C21" s="9">
        <f>C19+C20</f>
        <v>0</v>
      </c>
      <c r="D21" s="1" t="s">
        <v>24</v>
      </c>
      <c r="E21" s="9">
        <f>E19+E20</f>
        <v>0</v>
      </c>
      <c r="F21" s="1" t="s">
        <v>24</v>
      </c>
    </row>
    <row r="22" spans="1:6" x14ac:dyDescent="0.25">
      <c r="A22" s="4" t="s">
        <v>23</v>
      </c>
      <c r="B22" s="4"/>
      <c r="C22" s="17">
        <f>IF(B8=0,0,(C21/($B$8*1000*365)))</f>
        <v>0</v>
      </c>
      <c r="D22" s="4" t="s">
        <v>25</v>
      </c>
      <c r="E22" s="17">
        <f>IF(B8=0,0,(E21/($B$8*1000*365)))</f>
        <v>0</v>
      </c>
      <c r="F22" s="4" t="s">
        <v>25</v>
      </c>
    </row>
    <row r="23" spans="1:6" x14ac:dyDescent="0.25">
      <c r="C23" s="9"/>
    </row>
    <row r="24" spans="1:6" x14ac:dyDescent="0.25">
      <c r="C24" s="9"/>
    </row>
    <row r="25" spans="1:6" x14ac:dyDescent="0.25">
      <c r="C25" s="9"/>
    </row>
    <row r="26" spans="1:6" x14ac:dyDescent="0.25">
      <c r="C26" s="9"/>
    </row>
  </sheetData>
  <sheetProtection algorithmName="SHA-512" hashValue="c3qlPQ43S8c0y25HARrNRx4N5EjFVSIQZo6+POkSFRlbMupUEp4cDICJwoK2+YIfdqHQD2jUq9CsKz9yq64fhA==" saltValue="LGap/z2mAdngIoFsGL6VaA==" spinCount="100000" sheet="1" objects="1" scenarios="1" selectLockedCells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/>
      <c r="B9" s="53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B10" s="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B11" s="5"/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IF(B8=0,0,(($B$4/8005)*(37303+2.26*10^6*$B$8)))</f>
        <v>0</v>
      </c>
      <c r="E13" s="4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IF(B8=0,0,(($B$4/8005)*(67024-557.49*$B$10^2+45015*$B$8)))</f>
        <v>0</v>
      </c>
      <c r="D18" s="1" t="s">
        <v>24</v>
      </c>
      <c r="E18" s="4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+heFscXdSoVGEpUzDOwi/6tLhVe127yJwjhtknK+j6tx+kF4U0ZB6KTYc0YK4vtK6i5wniEiPBhn0jBmxR4VCA==" saltValue="pedCPEwGu+/PB3r28Z450Q==" spinCount="100000" sheet="1" objects="1" scenarios="1" select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79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IF(B8=0,0,(($B$4/8005)*(3281800*$B$10^0.3585)))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IF(B8=0,0,(($B$4/8005)*((1280+4920*LN($B$10))+($F$9*45750*$B$8))))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r/MbixiG4mhwBL7LB2LFQeTbDCVC2vMmVySLlZKzT+118ANuItVqa7bI3BStALBTWHKewQIfrbGYAt8QPZVH9Q==" saltValue="JbWq0ugyFR+Tw3XDxFVXBA==" spinCount="100000" sheet="1" objects="1" scenarios="1" selectLockedCell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22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116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IF(B8=0,0,(($B$4/8005)*(6355034+562922*($B$10))))</f>
        <v>0</v>
      </c>
      <c r="E13" s="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x14ac:dyDescent="0.25">
      <c r="A18" s="1" t="s">
        <v>22</v>
      </c>
      <c r="C18" s="9">
        <f>IF(B8=0,0,(($B$4/8005)*((7632.6+53308*($B$10)))))</f>
        <v>0</v>
      </c>
      <c r="D18" s="1" t="s">
        <v>24</v>
      </c>
      <c r="E18" s="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B2bBX4GPT42X0B/T9W4TU4WnuLy35cN/nBw4mq5reUwkqc8xa8PaQncG9DukyMvxNpMcJJJCuZ3mQ3TqYNL+sA==" saltValue="XSv4cWJvPmYB2EoqGRXxdA==" spinCount="100000" sheet="1" objects="1" scenarios="1" selectLockedCell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9.88671875" style="1" customWidth="1"/>
    <col min="3" max="3" width="16.6640625" style="1" customWidth="1"/>
    <col min="4" max="4" width="15.44140625" style="1" customWidth="1"/>
    <col min="5" max="5" width="15.6640625" style="1" customWidth="1"/>
    <col min="6" max="6" width="12.109375" style="1" customWidth="1"/>
    <col min="7" max="7" width="12" style="1" customWidth="1"/>
    <col min="8" max="8" width="15.6640625" style="1" customWidth="1"/>
    <col min="9" max="9" width="22.88671875" style="1" customWidth="1"/>
    <col min="10" max="11" width="8.88671875" style="1"/>
    <col min="12" max="12" width="10.109375" style="1" customWidth="1"/>
    <col min="13" max="13" width="12.44140625" style="1" customWidth="1"/>
    <col min="14" max="16384" width="8.88671875" style="1"/>
  </cols>
  <sheetData>
    <row r="1" spans="1:14" x14ac:dyDescent="0.25">
      <c r="A1" s="4" t="s">
        <v>117</v>
      </c>
    </row>
    <row r="3" spans="1:14" x14ac:dyDescent="0.25">
      <c r="A3" s="6" t="s">
        <v>0</v>
      </c>
      <c r="B3" s="6"/>
      <c r="C3" s="6"/>
      <c r="D3" s="6"/>
      <c r="L3" s="10" t="s">
        <v>17</v>
      </c>
      <c r="M3" s="14"/>
      <c r="N3" s="14"/>
    </row>
    <row r="4" spans="1:14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</row>
    <row r="5" spans="1:14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L5" s="1" t="s">
        <v>18</v>
      </c>
      <c r="N5" s="15">
        <f>B5</f>
        <v>2.75</v>
      </c>
    </row>
    <row r="6" spans="1:14" x14ac:dyDescent="0.25">
      <c r="L6" s="1">
        <v>5</v>
      </c>
      <c r="M6" s="1" t="s">
        <v>27</v>
      </c>
      <c r="N6" s="16">
        <f>(($N$5/100)*(1+($N$5/100))^5)/((1+($N$5/100))^5-1)</f>
        <v>0.21679832021298559</v>
      </c>
    </row>
    <row r="7" spans="1:14" x14ac:dyDescent="0.25">
      <c r="A7" s="6" t="s">
        <v>7</v>
      </c>
      <c r="B7" s="8"/>
      <c r="C7" s="6"/>
      <c r="L7" s="1">
        <v>20</v>
      </c>
      <c r="M7" s="1" t="s">
        <v>27</v>
      </c>
      <c r="N7" s="16">
        <f>(($N$5/100)*(1+($N$5/100))^20)/((1+($N$5/100))^20-1)</f>
        <v>6.5671730606068887E-2</v>
      </c>
    </row>
    <row r="8" spans="1:14" x14ac:dyDescent="0.25">
      <c r="A8" s="1" t="s">
        <v>44</v>
      </c>
      <c r="B8" s="84"/>
      <c r="C8" s="1" t="s">
        <v>8</v>
      </c>
      <c r="E8" s="1" t="s">
        <v>13</v>
      </c>
      <c r="F8" s="28">
        <v>40</v>
      </c>
      <c r="G8" s="1" t="s">
        <v>14</v>
      </c>
      <c r="L8" s="1">
        <v>30</v>
      </c>
      <c r="M8" s="1" t="s">
        <v>27</v>
      </c>
      <c r="N8" s="16">
        <f>(($N$5/100)*(1+($N$5/100))^30)/((1+($N$5/100))^30-1)</f>
        <v>4.9384420002573814E-2</v>
      </c>
    </row>
    <row r="9" spans="1:14" x14ac:dyDescent="0.25">
      <c r="A9" s="7"/>
      <c r="B9" s="53"/>
      <c r="E9" s="11" t="s">
        <v>28</v>
      </c>
      <c r="F9" s="29">
        <v>0.09</v>
      </c>
      <c r="G9" s="11" t="s">
        <v>29</v>
      </c>
      <c r="H9" s="11"/>
      <c r="L9" s="1">
        <v>35</v>
      </c>
      <c r="M9" s="1" t="s">
        <v>27</v>
      </c>
      <c r="N9" s="16">
        <f>(($N$5/100)*(1+($N$5/100))^35)/((1+($N$5/100))^35-1)</f>
        <v>4.4856445386798144E-2</v>
      </c>
    </row>
    <row r="10" spans="1:14" x14ac:dyDescent="0.25">
      <c r="B10" s="54"/>
      <c r="F10" s="12"/>
      <c r="L10" s="1">
        <v>40</v>
      </c>
      <c r="M10" s="1" t="s">
        <v>27</v>
      </c>
      <c r="N10" s="16">
        <f>(($N$5/100)*(1+($N$5/100))^40)/((1+($N$5/100))^40-1)</f>
        <v>4.1531514362620113E-2</v>
      </c>
    </row>
    <row r="11" spans="1:14" x14ac:dyDescent="0.25">
      <c r="B11" s="5"/>
      <c r="D11" s="144" t="s">
        <v>176</v>
      </c>
      <c r="E11" s="144"/>
      <c r="F11" s="144"/>
      <c r="G11" s="144"/>
      <c r="H11" s="144"/>
      <c r="L11" s="1" t="s">
        <v>19</v>
      </c>
      <c r="N11" s="16">
        <f>$N$5/100</f>
        <v>2.75E-2</v>
      </c>
    </row>
    <row r="12" spans="1:14" x14ac:dyDescent="0.25">
      <c r="C12" s="13" t="s">
        <v>148</v>
      </c>
      <c r="D12" s="13" t="s">
        <v>149</v>
      </c>
      <c r="E12" s="13" t="s">
        <v>150</v>
      </c>
      <c r="F12" s="13" t="s">
        <v>151</v>
      </c>
      <c r="G12" s="13" t="s">
        <v>152</v>
      </c>
      <c r="H12" s="146" t="s">
        <v>177</v>
      </c>
      <c r="I12" s="1" t="s">
        <v>134</v>
      </c>
    </row>
    <row r="13" spans="1:14" x14ac:dyDescent="0.25">
      <c r="A13" s="1" t="s">
        <v>12</v>
      </c>
      <c r="C13" s="55">
        <f>IF($C$24&lt;10,0,(IF($D24&lt;100,0,($B$4/8005)*(((72055*($C$24)^0.525)*(LN($D$24))+(352413-601218*LN($C$24))))))*$B$24)</f>
        <v>0</v>
      </c>
      <c r="D13" s="55">
        <f>IF($C$25&lt;10,0,(IF($D25&lt;100,0,($B$4/8005)*(((72055*($C$25)^0.525)*(LN($D$25))+(352413-601218*LN($C$25))))))*$B$25)</f>
        <v>0</v>
      </c>
      <c r="E13" s="55">
        <f>IF($C$26&lt;10,0,(IF($D26&lt;100,0,($B$4/8005)*(((72055*($C$26)^0.525)*(LN($D$26))+(352413-601218*LN($C$26))))))*$B$26)</f>
        <v>0</v>
      </c>
      <c r="F13" s="55">
        <f>IF($C$27&lt;10,0,(IF($D27&lt;100,0,($B$4/8005)*(((72055*($C$27)^0.525)*(LN($D$27))+(352413-601218*LN($C$27))))))*$B$27)</f>
        <v>0</v>
      </c>
      <c r="G13" s="147">
        <f>IF($C$28&lt;10,0,(IF(D28&lt;100,0,($B$4/8005)*(((72055*($C$28)^0.525)*(LN($D$28))+(352413-601218*LN($C$28))))))*$B$28)</f>
        <v>0</v>
      </c>
      <c r="H13" s="80"/>
      <c r="I13" s="86">
        <f>SUM(C13:H13)</f>
        <v>0</v>
      </c>
    </row>
    <row r="14" spans="1:14" x14ac:dyDescent="0.25">
      <c r="A14" s="1" t="s">
        <v>11</v>
      </c>
      <c r="C14" s="87">
        <f>C13*0.2</f>
        <v>0</v>
      </c>
      <c r="D14" s="87">
        <f t="shared" ref="D14:H14" si="0">D13*0.2</f>
        <v>0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  <c r="I14" s="86">
        <f t="shared" ref="I14:I19" si="1">SUM(C14:H14)</f>
        <v>0</v>
      </c>
    </row>
    <row r="15" spans="1:14" x14ac:dyDescent="0.25">
      <c r="A15" s="1" t="s">
        <v>71</v>
      </c>
      <c r="C15" s="80"/>
      <c r="D15" s="89"/>
      <c r="E15" s="89"/>
      <c r="F15" s="89"/>
      <c r="G15" s="89"/>
      <c r="H15" s="89"/>
      <c r="I15" s="86">
        <f t="shared" si="1"/>
        <v>0</v>
      </c>
    </row>
    <row r="16" spans="1:14" x14ac:dyDescent="0.25">
      <c r="A16" s="1" t="s">
        <v>20</v>
      </c>
      <c r="C16" s="88">
        <f>SUM(C13:C15)</f>
        <v>0</v>
      </c>
      <c r="D16" s="88">
        <f t="shared" ref="D16:H16" si="2">SUM(D13:D15)</f>
        <v>0</v>
      </c>
      <c r="E16" s="88">
        <f t="shared" si="2"/>
        <v>0</v>
      </c>
      <c r="F16" s="88">
        <f t="shared" si="2"/>
        <v>0</v>
      </c>
      <c r="G16" s="88">
        <f t="shared" si="2"/>
        <v>0</v>
      </c>
      <c r="H16" s="88">
        <f t="shared" si="2"/>
        <v>0</v>
      </c>
      <c r="I16" s="86">
        <f t="shared" si="1"/>
        <v>0</v>
      </c>
    </row>
    <row r="17" spans="1:11" x14ac:dyDescent="0.25">
      <c r="A17" s="1" t="s">
        <v>21</v>
      </c>
      <c r="C17" s="55">
        <f>C$16*(VLOOKUP($F$8,$L$6:$N$10,3,TRUE))</f>
        <v>0</v>
      </c>
      <c r="D17" s="55">
        <f t="shared" ref="D17:H17" si="3">D$16*(VLOOKUP($F$8,$L$6:$N$10,3,TRUE))</f>
        <v>0</v>
      </c>
      <c r="E17" s="55">
        <f t="shared" si="3"/>
        <v>0</v>
      </c>
      <c r="F17" s="55">
        <f t="shared" si="3"/>
        <v>0</v>
      </c>
      <c r="G17" s="55">
        <f t="shared" si="3"/>
        <v>0</v>
      </c>
      <c r="H17" s="55">
        <f t="shared" si="3"/>
        <v>0</v>
      </c>
      <c r="I17" s="86">
        <f t="shared" si="1"/>
        <v>0</v>
      </c>
      <c r="J17" s="1" t="s">
        <v>24</v>
      </c>
    </row>
    <row r="18" spans="1:11" x14ac:dyDescent="0.25">
      <c r="A18" s="1" t="s">
        <v>22</v>
      </c>
      <c r="C18" s="55"/>
      <c r="D18" s="27"/>
      <c r="E18" s="27"/>
      <c r="F18" s="27"/>
      <c r="G18" s="27"/>
      <c r="H18" s="27"/>
      <c r="I18" s="86">
        <f t="shared" si="1"/>
        <v>0</v>
      </c>
      <c r="J18" s="1" t="s">
        <v>24</v>
      </c>
      <c r="K18" s="1" t="s">
        <v>126</v>
      </c>
    </row>
    <row r="19" spans="1:11" x14ac:dyDescent="0.25">
      <c r="A19" s="1" t="s">
        <v>30</v>
      </c>
      <c r="C19" s="55">
        <f>C17+C18</f>
        <v>0</v>
      </c>
      <c r="D19" s="55">
        <f t="shared" ref="D19:H19" si="4">D17+D18</f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86">
        <f t="shared" si="1"/>
        <v>0</v>
      </c>
      <c r="J19" s="1" t="s">
        <v>24</v>
      </c>
    </row>
    <row r="20" spans="1:11" x14ac:dyDescent="0.25">
      <c r="A20" s="4" t="s">
        <v>23</v>
      </c>
      <c r="B20" s="4"/>
      <c r="C20" s="56">
        <f>IF($B$8=0,0,(C19/($B$8*1000*365)))</f>
        <v>0</v>
      </c>
      <c r="D20" s="56">
        <f t="shared" ref="D20:H20" si="5">IF($B$8=0,0,(D19/($B$8*1000*365)))</f>
        <v>0</v>
      </c>
      <c r="E20" s="56">
        <f t="shared" si="5"/>
        <v>0</v>
      </c>
      <c r="F20" s="56">
        <f t="shared" si="5"/>
        <v>0</v>
      </c>
      <c r="G20" s="56">
        <f t="shared" si="5"/>
        <v>0</v>
      </c>
      <c r="H20" s="56">
        <f t="shared" si="5"/>
        <v>0</v>
      </c>
      <c r="I20" s="57">
        <f>SUM(C20:H20)</f>
        <v>0</v>
      </c>
      <c r="J20" s="4" t="s">
        <v>25</v>
      </c>
    </row>
    <row r="21" spans="1:11" x14ac:dyDescent="0.25">
      <c r="C21" s="9"/>
    </row>
    <row r="22" spans="1:11" x14ac:dyDescent="0.25">
      <c r="C22" s="9"/>
    </row>
    <row r="23" spans="1:11" x14ac:dyDescent="0.25">
      <c r="B23" s="42" t="s">
        <v>131</v>
      </c>
      <c r="C23" s="43" t="s">
        <v>130</v>
      </c>
      <c r="D23" s="43" t="s">
        <v>132</v>
      </c>
    </row>
    <row r="24" spans="1:11" x14ac:dyDescent="0.25">
      <c r="A24" s="12" t="s">
        <v>148</v>
      </c>
      <c r="B24" s="85"/>
      <c r="C24" s="85"/>
      <c r="D24" s="85"/>
    </row>
    <row r="25" spans="1:11" x14ac:dyDescent="0.25">
      <c r="A25" s="12" t="s">
        <v>149</v>
      </c>
      <c r="B25" s="85"/>
      <c r="C25" s="85"/>
      <c r="D25" s="85"/>
    </row>
    <row r="26" spans="1:11" x14ac:dyDescent="0.25">
      <c r="A26" s="12" t="s">
        <v>150</v>
      </c>
      <c r="B26" s="85"/>
      <c r="C26" s="85"/>
      <c r="D26" s="85"/>
    </row>
    <row r="27" spans="1:11" x14ac:dyDescent="0.25">
      <c r="A27" s="12" t="s">
        <v>151</v>
      </c>
      <c r="B27" s="85"/>
      <c r="C27" s="85"/>
      <c r="D27" s="85"/>
    </row>
    <row r="28" spans="1:11" x14ac:dyDescent="0.25">
      <c r="A28" s="12" t="s">
        <v>152</v>
      </c>
      <c r="B28" s="85"/>
      <c r="C28" s="85"/>
      <c r="D28" s="85"/>
    </row>
  </sheetData>
  <sheetProtection algorithmName="SHA-512" hashValue="Y/jOg7cH5Q83Q719VskQISZf7yPhzSn77Kr40Q9eAzKx91Nj0N8phcMKdLVX8umfW8HGA14yoD1y1DivzzOlBQ==" saltValue="rMRXVJWOBucQUmMf1tfpmQ==" spinCount="100000" sheet="1" select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0" sqref="F10"/>
    </sheetView>
  </sheetViews>
  <sheetFormatPr defaultRowHeight="14.4" x14ac:dyDescent="0.3"/>
  <cols>
    <col min="1" max="1" width="42.109375" customWidth="1"/>
    <col min="2" max="2" width="18.109375" customWidth="1"/>
    <col min="3" max="3" width="10.88671875" customWidth="1"/>
    <col min="4" max="4" width="12.33203125" customWidth="1"/>
    <col min="5" max="5" width="14.33203125" customWidth="1"/>
    <col min="6" max="6" width="16.109375" customWidth="1"/>
    <col min="11" max="11" width="16.33203125" customWidth="1"/>
    <col min="12" max="12" width="10.44140625" customWidth="1"/>
  </cols>
  <sheetData>
    <row r="1" spans="1:12" ht="15.6" x14ac:dyDescent="0.3">
      <c r="A1" s="150" t="s">
        <v>138</v>
      </c>
      <c r="B1" s="238" t="s">
        <v>178</v>
      </c>
      <c r="C1" s="239"/>
      <c r="D1" s="239"/>
      <c r="E1" s="240"/>
      <c r="F1" s="74"/>
      <c r="G1" s="40"/>
    </row>
    <row r="3" spans="1:12" ht="15.6" x14ac:dyDescent="0.3">
      <c r="A3" s="40" t="s">
        <v>1</v>
      </c>
      <c r="B3" s="151">
        <f>Summary!G3</f>
        <v>10971.87</v>
      </c>
      <c r="C3" s="61" t="s">
        <v>2</v>
      </c>
      <c r="D3" s="212">
        <f>Summary!I3</f>
        <v>43191</v>
      </c>
      <c r="E3" s="59"/>
      <c r="F3" s="40"/>
      <c r="G3" s="40"/>
      <c r="H3" s="40"/>
      <c r="I3" s="40"/>
      <c r="J3" s="62" t="s">
        <v>17</v>
      </c>
      <c r="K3" s="63"/>
      <c r="L3" s="63"/>
    </row>
    <row r="4" spans="1:12" ht="15.6" x14ac:dyDescent="0.3">
      <c r="A4" s="64" t="s">
        <v>3</v>
      </c>
      <c r="B4" s="206">
        <f>Summary!G4</f>
        <v>2.75</v>
      </c>
      <c r="C4" s="64" t="s">
        <v>6</v>
      </c>
      <c r="D4" s="151" t="str">
        <f>Summary!I4</f>
        <v>FY2018 Federal Water Resource Planning Discount Rate</v>
      </c>
      <c r="E4" s="59"/>
      <c r="F4" s="40"/>
      <c r="G4" s="40"/>
      <c r="H4" s="40"/>
      <c r="I4" s="60"/>
      <c r="J4" s="40"/>
      <c r="K4" s="40"/>
      <c r="L4" s="40"/>
    </row>
    <row r="5" spans="1:12" ht="15.6" x14ac:dyDescent="0.3">
      <c r="A5" s="59"/>
      <c r="B5" s="75"/>
      <c r="C5" s="59"/>
      <c r="D5" s="46"/>
      <c r="E5" s="59"/>
      <c r="F5" s="40"/>
      <c r="G5" s="40"/>
      <c r="H5" s="40"/>
      <c r="I5" s="60"/>
      <c r="J5" s="40" t="s">
        <v>18</v>
      </c>
      <c r="K5" s="40"/>
      <c r="L5" s="65">
        <f>B4</f>
        <v>2.75</v>
      </c>
    </row>
    <row r="6" spans="1:12" ht="15.6" x14ac:dyDescent="0.3">
      <c r="A6" s="58" t="s">
        <v>12</v>
      </c>
      <c r="B6" s="69"/>
      <c r="C6" s="40"/>
      <c r="D6" s="40"/>
      <c r="E6" s="40" t="s">
        <v>44</v>
      </c>
      <c r="F6" s="152"/>
      <c r="G6" s="40" t="s">
        <v>8</v>
      </c>
      <c r="I6" s="60"/>
      <c r="J6" s="40">
        <v>5</v>
      </c>
      <c r="K6" s="40" t="s">
        <v>27</v>
      </c>
      <c r="L6" s="66">
        <f>(($B$4/100)*(1+($B$4/100))^5)/((1+($B$4/100))^5-1)</f>
        <v>0.21679832021298559</v>
      </c>
    </row>
    <row r="7" spans="1:12" ht="15.6" x14ac:dyDescent="0.3">
      <c r="A7" s="58" t="s">
        <v>11</v>
      </c>
      <c r="B7" s="70">
        <f>B6*0.2</f>
        <v>0</v>
      </c>
      <c r="C7" s="40"/>
      <c r="D7" s="40"/>
      <c r="E7" s="40" t="s">
        <v>26</v>
      </c>
      <c r="F7" s="149"/>
      <c r="G7" s="40" t="s">
        <v>8</v>
      </c>
      <c r="I7" s="60"/>
      <c r="J7" s="40">
        <v>20</v>
      </c>
      <c r="K7" s="40" t="s">
        <v>27</v>
      </c>
      <c r="L7" s="66">
        <f>(($B$4/100)*(1+($B$4/100))^20)/((1+($B$4/100))^20-1)</f>
        <v>6.5671730606068887E-2</v>
      </c>
    </row>
    <row r="8" spans="1:12" ht="15.6" x14ac:dyDescent="0.3">
      <c r="A8" s="58" t="s">
        <v>110</v>
      </c>
      <c r="B8" s="69"/>
      <c r="C8" s="40"/>
      <c r="D8" s="40"/>
      <c r="E8" s="40" t="s">
        <v>13</v>
      </c>
      <c r="F8" s="153">
        <v>30</v>
      </c>
      <c r="G8" s="40" t="s">
        <v>14</v>
      </c>
      <c r="I8" s="60"/>
      <c r="J8" s="40">
        <v>30</v>
      </c>
      <c r="K8" s="40" t="s">
        <v>27</v>
      </c>
      <c r="L8" s="66">
        <f>(($B$4/100)*(1+($B$4/100))^30)/((1+($B$4/100))^30-1)</f>
        <v>4.9384420002573814E-2</v>
      </c>
    </row>
    <row r="9" spans="1:12" ht="15.6" x14ac:dyDescent="0.3">
      <c r="A9" s="58" t="s">
        <v>20</v>
      </c>
      <c r="B9" s="72">
        <f>SUM(B6:B8)</f>
        <v>0</v>
      </c>
      <c r="C9" s="40"/>
      <c r="D9" s="40"/>
      <c r="E9" s="40" t="s">
        <v>180</v>
      </c>
      <c r="F9" s="74"/>
      <c r="G9" s="40"/>
      <c r="I9" s="60"/>
      <c r="J9" s="40">
        <v>35</v>
      </c>
      <c r="K9" s="40" t="s">
        <v>27</v>
      </c>
      <c r="L9" s="66">
        <f>(($B$4/100)*(1+($B$4/100))^35)/((1+($B$4/100))^35-1)</f>
        <v>4.4856445386798144E-2</v>
      </c>
    </row>
    <row r="10" spans="1:12" ht="15.6" x14ac:dyDescent="0.3">
      <c r="A10" s="58" t="s">
        <v>21</v>
      </c>
      <c r="B10" s="70">
        <f>B9*(VLOOKUP(F8,J6:L10,3,TRUE))</f>
        <v>0</v>
      </c>
      <c r="C10" s="40" t="s">
        <v>24</v>
      </c>
      <c r="D10" s="40"/>
      <c r="E10" s="40" t="s">
        <v>181</v>
      </c>
      <c r="F10" s="223" t="s">
        <v>191</v>
      </c>
      <c r="G10" s="40"/>
      <c r="I10" s="60"/>
      <c r="J10" s="40">
        <v>40</v>
      </c>
      <c r="K10" s="40" t="s">
        <v>27</v>
      </c>
      <c r="L10" s="66">
        <f>(($B$4/100)*(1+($B$4/100))^40)/((1+($B$4/100))^40-1)</f>
        <v>4.1531514362620113E-2</v>
      </c>
    </row>
    <row r="11" spans="1:12" ht="15.6" x14ac:dyDescent="0.3">
      <c r="A11" s="58" t="s">
        <v>22</v>
      </c>
      <c r="B11" s="71"/>
      <c r="C11" s="40" t="s">
        <v>24</v>
      </c>
      <c r="D11" s="40" t="s">
        <v>139</v>
      </c>
      <c r="E11" s="40"/>
      <c r="F11" s="74"/>
      <c r="G11" s="40"/>
      <c r="I11" s="40"/>
      <c r="J11" s="40" t="s">
        <v>19</v>
      </c>
      <c r="K11" s="40"/>
      <c r="L11" s="66">
        <f>$B$4/100</f>
        <v>2.75E-2</v>
      </c>
    </row>
    <row r="12" spans="1:12" ht="15.6" x14ac:dyDescent="0.3">
      <c r="A12" s="58" t="s">
        <v>30</v>
      </c>
      <c r="B12" s="70">
        <f>B10+B11</f>
        <v>0</v>
      </c>
      <c r="C12" s="40" t="s">
        <v>24</v>
      </c>
      <c r="D12" s="40"/>
      <c r="E12" s="40"/>
      <c r="F12" s="74"/>
      <c r="G12" s="40"/>
    </row>
    <row r="13" spans="1:12" ht="15.6" x14ac:dyDescent="0.3">
      <c r="A13" s="67" t="s">
        <v>23</v>
      </c>
      <c r="B13" s="73">
        <f>IF(F6=0,0,(B12/(F6*1000*365)))</f>
        <v>0</v>
      </c>
      <c r="C13" s="41" t="s">
        <v>25</v>
      </c>
      <c r="D13" s="40"/>
      <c r="E13" s="40"/>
      <c r="F13" s="74"/>
      <c r="G13" s="40"/>
    </row>
    <row r="16" spans="1:12" ht="15.6" x14ac:dyDescent="0.3">
      <c r="B16" s="214"/>
      <c r="D16" s="213"/>
    </row>
  </sheetData>
  <sheetProtection algorithmName="SHA-512" hashValue="yck/fUwbT5Za9v+tY1BvQ/pb+pg0jsB7R4QexuPVUr5fThH2oaoMiG7VewnP8fXtooJIZl4vHcjYKPGT8UyKPw==" saltValue="8JaexNtu7XajEr5RdfrkSw==" spinCount="100000" sheet="1" objects="1" scenarios="1" selectLockedCell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93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IF(B8=0,0,(($B$4/8005)*(791616+417919*$B$8-332.5*$B$8^2)))</f>
        <v>0</v>
      </c>
      <c r="E13" s="4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IF(B8=0,0,(($B$4/8005)*((2664.7*$B$8^0.4724))))</f>
        <v>0</v>
      </c>
      <c r="D18" s="1" t="s">
        <v>24</v>
      </c>
      <c r="E18" s="4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HC8BZvgCvVn6jlKeBHG1cRMc7IpbvKuCoNR/AWf/Wu8UNkHaXwjoBV5X24p+z5ka2Sd0+rsXbPDxroAxLVaZzw==" saltValue="8s/OCC3pK8NnYI33p1EFHA==" spinCount="100000"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111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25">
      <c r="A13" s="1" t="s">
        <v>12</v>
      </c>
      <c r="C13" s="9">
        <f>IF(B8=0,0,(($B$4/8005)*(192600+39670*($B$10)^0.5832)))</f>
        <v>0</v>
      </c>
      <c r="E13" s="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IF(B8=0,0,(($B$4/8005)*(( 2670 + 258*($B$10)^0.5361 + 897*($B$8)))))</f>
        <v>0</v>
      </c>
      <c r="D18" s="1" t="s">
        <v>24</v>
      </c>
      <c r="E18" s="49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GdjqI/bUeGECKYiXSwKyofX1FLYzCa7Py6rdQtZBOPTYCabSB7WqJC8o9BkBCA38/2XUYtFZVxk5BG6kHkI9dQ==" saltValue="zdJyld5tBdNWVKsemxb6y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154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158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2</v>
      </c>
      <c r="C9" s="1" t="s">
        <v>157</v>
      </c>
      <c r="E9" s="55" t="s">
        <v>155</v>
      </c>
      <c r="F9" s="78">
        <v>2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E10" s="27" t="s">
        <v>156</v>
      </c>
      <c r="F10" s="78">
        <v>3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0.5</v>
      </c>
      <c r="K11" s="1" t="s">
        <v>19</v>
      </c>
      <c r="M11" s="16">
        <f>$M$5/100</f>
        <v>2.75E-2</v>
      </c>
    </row>
    <row r="12" spans="1:13" x14ac:dyDescent="0.25">
      <c r="E12" s="1" t="s">
        <v>13</v>
      </c>
      <c r="F12" s="95">
        <v>40</v>
      </c>
      <c r="G12" s="1" t="s">
        <v>14</v>
      </c>
    </row>
    <row r="13" spans="1:13" ht="14.4" x14ac:dyDescent="0.3">
      <c r="A13" s="1" t="s">
        <v>12</v>
      </c>
      <c r="C13" s="9">
        <f>IF(B8=0,0,(($B$4/8005)*(42676+58307*$B$10-541*$B$10^2)))</f>
        <v>0</v>
      </c>
      <c r="D13" s="47"/>
      <c r="E13" s="11" t="s">
        <v>28</v>
      </c>
      <c r="F13" s="29">
        <v>0.09</v>
      </c>
      <c r="G13" s="11" t="s">
        <v>29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>
        <v>0</v>
      </c>
    </row>
    <row r="16" spans="1:13" x14ac:dyDescent="0.25">
      <c r="A16" s="1" t="s">
        <v>20</v>
      </c>
      <c r="C16" s="9">
        <f>SUM(C13:C15)</f>
        <v>0</v>
      </c>
    </row>
    <row r="17" spans="1:7" x14ac:dyDescent="0.25">
      <c r="A17" s="1" t="s">
        <v>21</v>
      </c>
      <c r="C17" s="9">
        <f>$C$16*(VLOOKUP($F$12,$K$6:$M$10,3,TRUE))</f>
        <v>0</v>
      </c>
      <c r="D17" s="1" t="s">
        <v>24</v>
      </c>
    </row>
    <row r="18" spans="1:7" ht="14.4" x14ac:dyDescent="0.3">
      <c r="A18" s="1" t="s">
        <v>22</v>
      </c>
      <c r="C18" s="9">
        <f>IF(B8=0,0,(($B$4/8005)*((689+1446*$B$8-20*$B$8^2))))</f>
        <v>0</v>
      </c>
      <c r="D18" s="1" t="s">
        <v>24</v>
      </c>
      <c r="E18" s="47"/>
      <c r="G18" s="9"/>
    </row>
    <row r="19" spans="1:7" x14ac:dyDescent="0.25">
      <c r="A19" s="1" t="s">
        <v>30</v>
      </c>
      <c r="C19" s="9">
        <f>C17+C18</f>
        <v>0</v>
      </c>
      <c r="D19" s="1" t="s">
        <v>24</v>
      </c>
    </row>
    <row r="20" spans="1:7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7" x14ac:dyDescent="0.25">
      <c r="C21" s="9"/>
    </row>
    <row r="22" spans="1:7" x14ac:dyDescent="0.25">
      <c r="C22" s="9"/>
    </row>
    <row r="23" spans="1:7" x14ac:dyDescent="0.25">
      <c r="C23" s="9"/>
    </row>
    <row r="24" spans="1:7" x14ac:dyDescent="0.25">
      <c r="C24" s="9"/>
    </row>
  </sheetData>
  <sheetProtection algorithmName="SHA-512" hashValue="Sn7CEv6pE/kshaaLsp9k8kuJe/6CkZpiSH6Ucifa69nUHLo9AhDWuCmyMgK6d9XJ2MG8oaS7lfFUJeADyQn8Pw==" saltValue="Huu146vhlokHEFJZozyoC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  <c r="E4" s="12" t="s">
        <v>172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IF($B$8=0,0,(($B$4/9702)*(214772+201435*$B$10)))</f>
        <v>0</v>
      </c>
      <c r="E13" s="1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IF(B8=0,0,(($B$4/8005)*(1833.8*$B$10)))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fTh3gqp5p7rmzP4fWK8LMzmz8gl6mXwCBW1YBmHD/wJWw/8NgNFVJH17neTsSxjuECAcQcMRWIIkQq9R+aCE2g==" saltValue="Nhskxjhdb39bimu66aGX5g==" spinCount="100000" sheet="1" select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A27" sqref="A27"/>
    </sheetView>
  </sheetViews>
  <sheetFormatPr defaultColWidth="8.88671875" defaultRowHeight="13.8" x14ac:dyDescent="0.25"/>
  <cols>
    <col min="1" max="1" width="13.109375" style="1" customWidth="1"/>
    <col min="2" max="2" width="12.5546875" style="1" customWidth="1"/>
    <col min="3" max="3" width="10.33203125" style="1" customWidth="1"/>
    <col min="4" max="4" width="13.44140625" style="1" customWidth="1"/>
    <col min="5" max="5" width="11.109375" style="1" customWidth="1"/>
    <col min="6" max="6" width="11.5546875" style="1" customWidth="1"/>
    <col min="7" max="7" width="13.6640625" style="1" customWidth="1"/>
    <col min="8" max="8" width="8.88671875" style="1"/>
    <col min="9" max="9" width="9.88671875" style="1" customWidth="1"/>
    <col min="10" max="10" width="15.33203125" style="1" customWidth="1"/>
    <col min="11" max="11" width="9.5546875" style="1" customWidth="1"/>
    <col min="12" max="12" width="12.44140625" style="1" customWidth="1"/>
    <col min="13" max="13" width="8.88671875" style="1"/>
    <col min="14" max="14" width="11.44140625" style="1" customWidth="1"/>
    <col min="15" max="16" width="8.88671875" style="1"/>
    <col min="17" max="17" width="12.88671875" style="1" customWidth="1"/>
    <col min="18" max="16384" width="8.88671875" style="1"/>
  </cols>
  <sheetData>
    <row r="1" spans="1:17" x14ac:dyDescent="0.25">
      <c r="A1" s="4" t="s">
        <v>72</v>
      </c>
      <c r="G1" s="39"/>
      <c r="I1" s="5"/>
    </row>
    <row r="2" spans="1:17" x14ac:dyDescent="0.25">
      <c r="A2" s="4"/>
      <c r="G2" s="39"/>
    </row>
    <row r="3" spans="1:17" x14ac:dyDescent="0.25">
      <c r="A3" s="6" t="s">
        <v>0</v>
      </c>
    </row>
    <row r="4" spans="1:17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  <c r="E4" s="218" t="s">
        <v>172</v>
      </c>
      <c r="M4" s="10" t="s">
        <v>17</v>
      </c>
      <c r="N4" s="14"/>
      <c r="O4" s="14"/>
    </row>
    <row r="5" spans="1:17" x14ac:dyDescent="0.25">
      <c r="A5" s="26" t="s">
        <v>3</v>
      </c>
      <c r="B5" s="31">
        <f>Summary!G4</f>
        <v>2.75</v>
      </c>
      <c r="C5" s="26" t="s">
        <v>6</v>
      </c>
      <c r="D5" s="30" t="str">
        <f>Summary!I4</f>
        <v>FY2018 Federal Water Resource Planning Discount Rate</v>
      </c>
      <c r="E5" s="94"/>
    </row>
    <row r="6" spans="1:17" x14ac:dyDescent="0.25">
      <c r="I6" s="221"/>
      <c r="M6" s="1" t="s">
        <v>18</v>
      </c>
      <c r="O6" s="15">
        <f>B5</f>
        <v>2.75</v>
      </c>
    </row>
    <row r="7" spans="1:17" x14ac:dyDescent="0.25">
      <c r="A7" s="6" t="s">
        <v>7</v>
      </c>
      <c r="B7" s="8"/>
      <c r="C7" s="6"/>
      <c r="G7" s="1" t="s">
        <v>12</v>
      </c>
      <c r="I7" s="222"/>
      <c r="J7" s="37">
        <f>D67</f>
        <v>0</v>
      </c>
      <c r="M7" s="1">
        <v>5</v>
      </c>
      <c r="N7" s="1" t="s">
        <v>27</v>
      </c>
      <c r="O7" s="16">
        <f>(($O$6/100)*(1+($O$6/100))^5)/((1+($O$6/100))^5-1)</f>
        <v>0.21679832021298559</v>
      </c>
    </row>
    <row r="8" spans="1:17" x14ac:dyDescent="0.25">
      <c r="A8" s="1" t="s">
        <v>44</v>
      </c>
      <c r="B8" s="84"/>
      <c r="C8" s="1" t="s">
        <v>8</v>
      </c>
      <c r="G8" s="1" t="s">
        <v>11</v>
      </c>
      <c r="I8" s="222"/>
      <c r="J8" s="9">
        <f>J7*0.2</f>
        <v>0</v>
      </c>
      <c r="M8" s="1">
        <v>20</v>
      </c>
      <c r="N8" s="1" t="s">
        <v>27</v>
      </c>
      <c r="O8" s="16">
        <f>(($O$6/100)*(1+($O$6/100))^20)/((1+($O$6/100))^20-1)</f>
        <v>6.5671730606068887E-2</v>
      </c>
    </row>
    <row r="9" spans="1:17" x14ac:dyDescent="0.25">
      <c r="A9" s="1" t="s">
        <v>13</v>
      </c>
      <c r="B9" s="38">
        <v>40</v>
      </c>
      <c r="C9" s="1" t="s">
        <v>14</v>
      </c>
      <c r="D9" s="3"/>
      <c r="E9" s="3"/>
      <c r="F9" s="3"/>
      <c r="G9" s="1" t="s">
        <v>89</v>
      </c>
      <c r="I9" s="222"/>
      <c r="J9" s="80">
        <v>0</v>
      </c>
      <c r="M9" s="1">
        <v>30</v>
      </c>
      <c r="N9" s="1" t="s">
        <v>27</v>
      </c>
      <c r="O9" s="16">
        <f>(($O$6/100)*(1+($O$6/100))^30)/((1+($O$6/100))^30-1)</f>
        <v>4.9384420002573814E-2</v>
      </c>
    </row>
    <row r="10" spans="1:17" x14ac:dyDescent="0.25">
      <c r="B10" s="33"/>
      <c r="C10" s="7"/>
      <c r="D10" s="3"/>
      <c r="E10" s="3"/>
      <c r="F10" s="3"/>
      <c r="G10" s="1" t="s">
        <v>20</v>
      </c>
      <c r="I10" s="222"/>
      <c r="J10" s="9">
        <f>SUM(J7:J9)</f>
        <v>0</v>
      </c>
      <c r="M10" s="1">
        <v>35</v>
      </c>
      <c r="N10" s="1" t="s">
        <v>27</v>
      </c>
      <c r="O10" s="16">
        <f>(($O$6/100)*(1+($O$6/100))^35)/((1+($O$6/100))^35-1)</f>
        <v>4.4856445386798144E-2</v>
      </c>
    </row>
    <row r="11" spans="1:17" x14ac:dyDescent="0.25">
      <c r="A11" s="27"/>
      <c r="B11" s="24" t="s">
        <v>67</v>
      </c>
      <c r="C11" s="24" t="s">
        <v>68</v>
      </c>
      <c r="D11" s="24" t="s">
        <v>69</v>
      </c>
      <c r="E11" s="24" t="s">
        <v>160</v>
      </c>
      <c r="F11" s="3"/>
      <c r="G11" s="1" t="s">
        <v>21</v>
      </c>
      <c r="J11" s="39">
        <f>$J$10*(VLOOKUP($B$9,$M$7:$O$12,3,TRUE))</f>
        <v>0</v>
      </c>
      <c r="K11" s="1" t="s">
        <v>24</v>
      </c>
      <c r="M11" s="1">
        <v>40</v>
      </c>
      <c r="N11" s="1" t="s">
        <v>27</v>
      </c>
      <c r="O11" s="16">
        <f>(($O$6/100)*(1+($O$6/100))^40)/((1+($O$6/100))^40-1)</f>
        <v>4.1531514362620113E-2</v>
      </c>
    </row>
    <row r="12" spans="1:17" x14ac:dyDescent="0.25">
      <c r="A12" s="27" t="s">
        <v>77</v>
      </c>
      <c r="B12" s="25">
        <v>1</v>
      </c>
      <c r="C12" s="25">
        <v>2</v>
      </c>
      <c r="D12" s="25">
        <v>3</v>
      </c>
      <c r="E12" s="93">
        <v>4</v>
      </c>
      <c r="F12" s="3"/>
      <c r="G12" s="1" t="s">
        <v>22</v>
      </c>
      <c r="J12" s="9"/>
      <c r="K12" s="1" t="s">
        <v>61</v>
      </c>
      <c r="M12" s="1" t="s">
        <v>19</v>
      </c>
      <c r="O12" s="16">
        <f>$O$6/100</f>
        <v>2.75E-2</v>
      </c>
    </row>
    <row r="13" spans="1:17" x14ac:dyDescent="0.25">
      <c r="A13" s="1" t="s">
        <v>169</v>
      </c>
      <c r="G13" s="1" t="s">
        <v>30</v>
      </c>
      <c r="J13" s="9">
        <f>J11+J12</f>
        <v>0</v>
      </c>
      <c r="K13" s="1" t="s">
        <v>24</v>
      </c>
    </row>
    <row r="14" spans="1:17" ht="13.95" customHeight="1" x14ac:dyDescent="0.25">
      <c r="A14" s="144" t="s">
        <v>173</v>
      </c>
      <c r="B14" s="144"/>
      <c r="C14" s="144"/>
      <c r="D14" s="144"/>
      <c r="E14" s="44"/>
      <c r="G14" s="4" t="s">
        <v>23</v>
      </c>
      <c r="J14" s="17">
        <f>IF(D67=0,0,(J13/($B$8*1000*365)))</f>
        <v>0</v>
      </c>
      <c r="K14" s="4" t="s">
        <v>25</v>
      </c>
      <c r="L14" s="4"/>
    </row>
    <row r="15" spans="1:17" x14ac:dyDescent="0.25">
      <c r="A15" s="42" t="s">
        <v>73</v>
      </c>
      <c r="B15" s="42" t="s">
        <v>74</v>
      </c>
      <c r="C15" s="43" t="s">
        <v>76</v>
      </c>
      <c r="D15" s="27" t="s">
        <v>75</v>
      </c>
      <c r="E15" s="97"/>
    </row>
    <row r="16" spans="1:17" ht="14.4" thickBot="1" x14ac:dyDescent="0.3">
      <c r="A16" s="85"/>
      <c r="B16" s="85"/>
      <c r="C16" s="85"/>
      <c r="D16" s="90">
        <f t="shared" ref="D16:D31" si="0">(IF(A16=0,0,(IF(A16&gt;42,0,($B$4/9702)*IF(C16=4,VLOOKUP(A16,$G$19:$K$31,5,TRUE),IF(C16=3,VLOOKUP(A16,$G$19:$K$31,4,TRUE),(IF(C16=2,VLOOKUP(A16,$G$19:$K$31,3,TRUE),VLOOKUP(A16,$G$19:$K$31,2,TRUE)))))))*B16))</f>
        <v>0</v>
      </c>
      <c r="E16" s="97"/>
      <c r="G16" s="1" t="s">
        <v>172</v>
      </c>
      <c r="J16" s="1" t="s">
        <v>162</v>
      </c>
      <c r="N16" s="229" t="s">
        <v>168</v>
      </c>
      <c r="O16" s="229"/>
      <c r="P16" s="229"/>
      <c r="Q16" s="229"/>
    </row>
    <row r="17" spans="1:17" ht="14.4" customHeight="1" x14ac:dyDescent="0.3">
      <c r="A17" s="85"/>
      <c r="B17" s="85"/>
      <c r="C17" s="85"/>
      <c r="D17" s="90">
        <f t="shared" si="0"/>
        <v>0</v>
      </c>
      <c r="E17" s="97"/>
      <c r="G17" s="230" t="s">
        <v>66</v>
      </c>
      <c r="H17" s="234" t="s">
        <v>65</v>
      </c>
      <c r="I17" s="235"/>
      <c r="J17" s="235"/>
      <c r="K17" s="236"/>
      <c r="L17" s="232" t="s">
        <v>70</v>
      </c>
      <c r="M17" s="135"/>
      <c r="N17" s="227" t="s">
        <v>66</v>
      </c>
      <c r="O17" s="227" t="s">
        <v>163</v>
      </c>
      <c r="P17" s="227"/>
      <c r="Q17" s="121" t="s">
        <v>164</v>
      </c>
    </row>
    <row r="18" spans="1:17" ht="14.4" thickBot="1" x14ac:dyDescent="0.3">
      <c r="A18" s="85"/>
      <c r="B18" s="85"/>
      <c r="C18" s="85"/>
      <c r="D18" s="90">
        <f>(IF(A18=0,0,(IF(A18&gt;42,0,($B$4/9702)*IF(C18=4,VLOOKUP(A18,$G$19:$K$31,5,TRUE),IF(C18=3,VLOOKUP(A18,$G$19:$K$31,4,TRUE),(IF(C18=2,VLOOKUP(A18,$G$19:$K$31,3,TRUE),VLOOKUP(A18,$G$19:$K$31,2,TRUE)))))))*B18))</f>
        <v>0</v>
      </c>
      <c r="E18" s="97"/>
      <c r="G18" s="231"/>
      <c r="H18" s="113" t="s">
        <v>67</v>
      </c>
      <c r="I18" s="113" t="s">
        <v>68</v>
      </c>
      <c r="J18" s="113" t="s">
        <v>69</v>
      </c>
      <c r="K18" s="42" t="s">
        <v>159</v>
      </c>
      <c r="L18" s="233"/>
      <c r="N18" s="228"/>
      <c r="O18" s="122" t="s">
        <v>165</v>
      </c>
      <c r="P18" s="123" t="s">
        <v>166</v>
      </c>
      <c r="Q18" s="124" t="s">
        <v>167</v>
      </c>
    </row>
    <row r="19" spans="1:17" x14ac:dyDescent="0.25">
      <c r="A19" s="85"/>
      <c r="B19" s="85"/>
      <c r="C19" s="85"/>
      <c r="D19" s="90">
        <f>(IF(A19=0,0,(IF(A19&gt;42,0,($B$4/9702)*IF(C19=4,VLOOKUP(A19,$G$19:$K$31,5,TRUE),IF(C19=3,VLOOKUP(A19,$G$19:$K$31,4,TRUE),(IF(C19=2,VLOOKUP(A19,$G$19:$K$31,3,TRUE),VLOOKUP(A19,$G$19:$K$31,2,TRUE)))))))*B19))</f>
        <v>0</v>
      </c>
      <c r="E19" s="97"/>
      <c r="G19" s="114">
        <v>4</v>
      </c>
      <c r="H19" s="115">
        <v>24</v>
      </c>
      <c r="I19" s="115">
        <v>32</v>
      </c>
      <c r="J19" s="115">
        <v>40</v>
      </c>
      <c r="K19" s="115">
        <v>56</v>
      </c>
      <c r="L19" s="116">
        <v>25</v>
      </c>
      <c r="N19" s="125">
        <v>4</v>
      </c>
      <c r="O19" s="126">
        <v>0.28000000000000003</v>
      </c>
      <c r="P19" s="127">
        <f>(O19*1000000)/(60*24)</f>
        <v>194.44444444444446</v>
      </c>
      <c r="Q19" s="128">
        <f>((P19)/(7.48*60))/(3.1415*(((N19/12)/2)^2))</f>
        <v>4.9648728155623516</v>
      </c>
    </row>
    <row r="20" spans="1:17" x14ac:dyDescent="0.25">
      <c r="A20" s="85"/>
      <c r="B20" s="85"/>
      <c r="C20" s="85"/>
      <c r="D20" s="90">
        <f t="shared" si="0"/>
        <v>0</v>
      </c>
      <c r="E20" s="97"/>
      <c r="G20" s="117">
        <v>6</v>
      </c>
      <c r="H20" s="107">
        <v>36</v>
      </c>
      <c r="I20" s="107">
        <v>48</v>
      </c>
      <c r="J20" s="107">
        <v>60</v>
      </c>
      <c r="K20" s="107">
        <v>84</v>
      </c>
      <c r="L20" s="109">
        <v>26</v>
      </c>
      <c r="N20" s="129">
        <v>6</v>
      </c>
      <c r="O20" s="130">
        <v>0.63</v>
      </c>
      <c r="P20" s="120">
        <f t="shared" ref="P20:P21" si="1">(O20*1000000)/(60*24)</f>
        <v>437.5</v>
      </c>
      <c r="Q20" s="131">
        <f t="shared" ref="Q20:Q21" si="2">((P20)/(7.48*60))/(3.1415*(((N20/12)/2)^2))</f>
        <v>4.9648728155623507</v>
      </c>
    </row>
    <row r="21" spans="1:17" x14ac:dyDescent="0.25">
      <c r="A21" s="85"/>
      <c r="B21" s="85"/>
      <c r="C21" s="85"/>
      <c r="D21" s="90">
        <f t="shared" si="0"/>
        <v>0</v>
      </c>
      <c r="E21" s="97"/>
      <c r="G21" s="117">
        <v>8</v>
      </c>
      <c r="H21" s="107">
        <v>48</v>
      </c>
      <c r="I21" s="107">
        <v>64</v>
      </c>
      <c r="J21" s="107">
        <v>80</v>
      </c>
      <c r="K21" s="107">
        <v>112</v>
      </c>
      <c r="L21" s="109">
        <v>27</v>
      </c>
      <c r="N21" s="129">
        <v>8</v>
      </c>
      <c r="O21" s="130">
        <v>1.1299999999999999</v>
      </c>
      <c r="P21" s="120">
        <f t="shared" si="1"/>
        <v>784.72222222222217</v>
      </c>
      <c r="Q21" s="131">
        <f t="shared" si="2"/>
        <v>5.0092020371298718</v>
      </c>
    </row>
    <row r="22" spans="1:17" x14ac:dyDescent="0.25">
      <c r="A22" s="85"/>
      <c r="B22" s="85"/>
      <c r="C22" s="85"/>
      <c r="D22" s="90">
        <f t="shared" si="0"/>
        <v>0</v>
      </c>
      <c r="E22" s="97"/>
      <c r="G22" s="117">
        <v>10</v>
      </c>
      <c r="H22" s="107">
        <v>60</v>
      </c>
      <c r="I22" s="107">
        <v>80</v>
      </c>
      <c r="J22" s="107">
        <v>100</v>
      </c>
      <c r="K22" s="107">
        <v>140</v>
      </c>
      <c r="L22" s="109">
        <v>25</v>
      </c>
      <c r="N22" s="129">
        <v>10</v>
      </c>
      <c r="O22" s="130">
        <v>1.76</v>
      </c>
      <c r="P22" s="120">
        <f>(O22*1000000)/(60*24)</f>
        <v>1222.2222222222222</v>
      </c>
      <c r="Q22" s="131">
        <f>((P22)/(7.48*60))/(3.1415*(((N22/12)/2)^2))</f>
        <v>4.9932435173655643</v>
      </c>
    </row>
    <row r="23" spans="1:17" x14ac:dyDescent="0.25">
      <c r="A23" s="85"/>
      <c r="B23" s="85"/>
      <c r="C23" s="85"/>
      <c r="D23" s="90">
        <f t="shared" si="0"/>
        <v>0</v>
      </c>
      <c r="E23" s="97"/>
      <c r="G23" s="117">
        <v>12</v>
      </c>
      <c r="H23" s="107">
        <v>72</v>
      </c>
      <c r="I23" s="107">
        <v>96</v>
      </c>
      <c r="J23" s="107">
        <v>120</v>
      </c>
      <c r="K23" s="107">
        <v>168</v>
      </c>
      <c r="L23" s="109">
        <v>25</v>
      </c>
      <c r="N23" s="129">
        <v>12</v>
      </c>
      <c r="O23" s="132">
        <v>2.5</v>
      </c>
      <c r="P23" s="120">
        <f t="shared" ref="P23:P31" si="3">(O23*1000000)/(60*24)</f>
        <v>1736.1111111111111</v>
      </c>
      <c r="Q23" s="131">
        <f t="shared" ref="Q23:Q31" si="4">((P23)/(7.48*60))/(3.1415*(((N23/12)/2)^2))</f>
        <v>4.9254690630578875</v>
      </c>
    </row>
    <row r="24" spans="1:17" x14ac:dyDescent="0.25">
      <c r="A24" s="85"/>
      <c r="B24" s="85"/>
      <c r="C24" s="85"/>
      <c r="D24" s="90">
        <f t="shared" si="0"/>
        <v>0</v>
      </c>
      <c r="E24" s="97"/>
      <c r="G24" s="117">
        <v>14</v>
      </c>
      <c r="H24" s="107">
        <v>84</v>
      </c>
      <c r="I24" s="107">
        <v>112</v>
      </c>
      <c r="J24" s="107">
        <v>140</v>
      </c>
      <c r="K24" s="107">
        <v>196</v>
      </c>
      <c r="L24" s="110">
        <v>30</v>
      </c>
      <c r="N24" s="129">
        <v>14</v>
      </c>
      <c r="O24" s="132">
        <v>3.45</v>
      </c>
      <c r="P24" s="120">
        <f t="shared" si="3"/>
        <v>2395.8333333333335</v>
      </c>
      <c r="Q24" s="131">
        <f t="shared" si="4"/>
        <v>4.9938225112799151</v>
      </c>
    </row>
    <row r="25" spans="1:17" x14ac:dyDescent="0.25">
      <c r="A25" s="219"/>
      <c r="B25" s="85"/>
      <c r="C25" s="85"/>
      <c r="D25" s="90">
        <f t="shared" si="0"/>
        <v>0</v>
      </c>
      <c r="E25" s="97"/>
      <c r="G25" s="117">
        <v>16</v>
      </c>
      <c r="H25" s="107">
        <v>96</v>
      </c>
      <c r="I25" s="107">
        <v>128</v>
      </c>
      <c r="J25" s="107">
        <v>160</v>
      </c>
      <c r="K25" s="107">
        <v>224</v>
      </c>
      <c r="L25" s="110">
        <v>30</v>
      </c>
      <c r="N25" s="129">
        <v>16</v>
      </c>
      <c r="O25" s="132">
        <v>4.5</v>
      </c>
      <c r="P25" s="120">
        <f t="shared" si="3"/>
        <v>3125</v>
      </c>
      <c r="Q25" s="131">
        <f t="shared" si="4"/>
        <v>4.9870374263461112</v>
      </c>
    </row>
    <row r="26" spans="1:17" x14ac:dyDescent="0.25">
      <c r="A26" s="219"/>
      <c r="B26" s="85"/>
      <c r="C26" s="85"/>
      <c r="D26" s="90">
        <f t="shared" si="0"/>
        <v>0</v>
      </c>
      <c r="E26" s="97"/>
      <c r="G26" s="117">
        <v>18</v>
      </c>
      <c r="H26" s="107">
        <v>108</v>
      </c>
      <c r="I26" s="107">
        <v>144</v>
      </c>
      <c r="J26" s="107">
        <v>180</v>
      </c>
      <c r="K26" s="107">
        <v>252</v>
      </c>
      <c r="L26" s="110">
        <v>30</v>
      </c>
      <c r="N26" s="129">
        <v>18</v>
      </c>
      <c r="O26" s="132">
        <v>5.7</v>
      </c>
      <c r="P26" s="120">
        <f t="shared" si="3"/>
        <v>3958.3333333333335</v>
      </c>
      <c r="Q26" s="131">
        <f t="shared" si="4"/>
        <v>4.9911419838986593</v>
      </c>
    </row>
    <row r="27" spans="1:17" x14ac:dyDescent="0.25">
      <c r="A27" s="219"/>
      <c r="B27" s="85"/>
      <c r="C27" s="85"/>
      <c r="D27" s="90">
        <f t="shared" si="0"/>
        <v>0</v>
      </c>
      <c r="E27" s="97"/>
      <c r="G27" s="117">
        <v>20</v>
      </c>
      <c r="H27" s="107">
        <v>120</v>
      </c>
      <c r="I27" s="107">
        <v>160</v>
      </c>
      <c r="J27" s="107">
        <v>200</v>
      </c>
      <c r="K27" s="107">
        <v>280</v>
      </c>
      <c r="L27" s="110">
        <v>30</v>
      </c>
      <c r="N27" s="129">
        <v>20</v>
      </c>
      <c r="O27" s="132">
        <v>7</v>
      </c>
      <c r="P27" s="120">
        <f t="shared" si="3"/>
        <v>4861.1111111111113</v>
      </c>
      <c r="Q27" s="131">
        <f t="shared" si="4"/>
        <v>4.9648728155623507</v>
      </c>
    </row>
    <row r="28" spans="1:17" x14ac:dyDescent="0.25">
      <c r="A28" s="219"/>
      <c r="B28" s="85"/>
      <c r="C28" s="85"/>
      <c r="D28" s="90">
        <f t="shared" si="0"/>
        <v>0</v>
      </c>
      <c r="E28" s="97"/>
      <c r="G28" s="117">
        <v>24</v>
      </c>
      <c r="H28" s="107">
        <v>144</v>
      </c>
      <c r="I28" s="107">
        <v>192</v>
      </c>
      <c r="J28" s="107">
        <v>240</v>
      </c>
      <c r="K28" s="107">
        <v>336</v>
      </c>
      <c r="L28" s="110">
        <v>30</v>
      </c>
      <c r="N28" s="129">
        <v>24</v>
      </c>
      <c r="O28" s="132">
        <v>10</v>
      </c>
      <c r="P28" s="120">
        <f t="shared" si="3"/>
        <v>6944.4444444444443</v>
      </c>
      <c r="Q28" s="131">
        <f t="shared" si="4"/>
        <v>4.9254690630578875</v>
      </c>
    </row>
    <row r="29" spans="1:17" x14ac:dyDescent="0.25">
      <c r="A29" s="219"/>
      <c r="B29" s="85"/>
      <c r="C29" s="85"/>
      <c r="D29" s="90">
        <f t="shared" si="0"/>
        <v>0</v>
      </c>
      <c r="E29" s="97"/>
      <c r="G29" s="118">
        <v>30</v>
      </c>
      <c r="H29" s="107">
        <v>180</v>
      </c>
      <c r="I29" s="107">
        <v>240</v>
      </c>
      <c r="J29" s="107">
        <v>300</v>
      </c>
      <c r="K29" s="107">
        <v>420</v>
      </c>
      <c r="L29" s="111">
        <v>65</v>
      </c>
      <c r="N29" s="133">
        <v>30</v>
      </c>
      <c r="O29" s="132">
        <v>16</v>
      </c>
      <c r="P29" s="120">
        <f t="shared" si="3"/>
        <v>11111.111111111111</v>
      </c>
      <c r="Q29" s="131">
        <f t="shared" si="4"/>
        <v>5.0436803205712772</v>
      </c>
    </row>
    <row r="30" spans="1:17" x14ac:dyDescent="0.25">
      <c r="A30" s="219"/>
      <c r="B30" s="85"/>
      <c r="C30" s="85"/>
      <c r="D30" s="90">
        <f t="shared" si="0"/>
        <v>0</v>
      </c>
      <c r="E30" s="97"/>
      <c r="G30" s="117">
        <v>36</v>
      </c>
      <c r="H30" s="107">
        <v>216</v>
      </c>
      <c r="I30" s="107">
        <v>288</v>
      </c>
      <c r="J30" s="107">
        <v>360</v>
      </c>
      <c r="K30" s="107">
        <v>504</v>
      </c>
      <c r="L30" s="110">
        <v>65</v>
      </c>
      <c r="N30" s="129">
        <v>36</v>
      </c>
      <c r="O30" s="132">
        <v>23</v>
      </c>
      <c r="P30" s="120">
        <f t="shared" si="3"/>
        <v>15972.222222222223</v>
      </c>
      <c r="Q30" s="131">
        <f t="shared" si="4"/>
        <v>5.0349239311258405</v>
      </c>
    </row>
    <row r="31" spans="1:17" ht="14.4" thickBot="1" x14ac:dyDescent="0.3">
      <c r="A31" s="220"/>
      <c r="B31" s="101"/>
      <c r="C31" s="101"/>
      <c r="D31" s="90">
        <f t="shared" si="0"/>
        <v>0</v>
      </c>
      <c r="E31" s="97"/>
      <c r="G31" s="119">
        <v>42</v>
      </c>
      <c r="H31" s="108">
        <v>252</v>
      </c>
      <c r="I31" s="108">
        <v>336</v>
      </c>
      <c r="J31" s="108">
        <v>420</v>
      </c>
      <c r="K31" s="108">
        <v>588</v>
      </c>
      <c r="L31" s="112">
        <v>65</v>
      </c>
      <c r="N31" s="134">
        <v>42</v>
      </c>
      <c r="O31" s="122">
        <v>31</v>
      </c>
      <c r="P31" s="123">
        <f t="shared" si="3"/>
        <v>21527.777777777777</v>
      </c>
      <c r="Q31" s="124">
        <f t="shared" si="4"/>
        <v>4.9857809291361468</v>
      </c>
    </row>
    <row r="32" spans="1:17" x14ac:dyDescent="0.25">
      <c r="A32" s="220"/>
      <c r="B32" s="101"/>
      <c r="C32" s="101"/>
      <c r="D32" s="90">
        <f t="shared" ref="D32:D55" si="5">(IF(A32=0,0,(IF(A32&gt;42,0,($B$4/9702)*IF(C32=4,VLOOKUP(A32,$G$19:$K$31,5,TRUE),IF(C32=3,VLOOKUP(A32,$G$19:$K$31,4,TRUE),(IF(C32=2,VLOOKUP(A32,$G$19:$K$31,3,TRUE),VLOOKUP(A32,$G$19:$K$31,2,TRUE)))))))*B32))</f>
        <v>0</v>
      </c>
      <c r="E32" s="97"/>
      <c r="G32" s="96"/>
      <c r="H32" s="100"/>
      <c r="I32" s="100"/>
      <c r="J32" s="100"/>
      <c r="K32" s="100"/>
      <c r="L32" s="99"/>
      <c r="N32" s="96"/>
      <c r="O32" s="203"/>
      <c r="P32" s="204"/>
      <c r="Q32" s="205"/>
    </row>
    <row r="33" spans="1:17" x14ac:dyDescent="0.25">
      <c r="A33" s="220"/>
      <c r="B33" s="101"/>
      <c r="C33" s="101"/>
      <c r="D33" s="90">
        <f t="shared" si="5"/>
        <v>0</v>
      </c>
      <c r="E33" s="97"/>
      <c r="G33" s="96"/>
      <c r="H33" s="100"/>
      <c r="I33" s="100"/>
      <c r="J33" s="100"/>
      <c r="K33" s="100"/>
      <c r="L33" s="99"/>
      <c r="N33" s="96"/>
      <c r="O33" s="203"/>
      <c r="P33" s="204"/>
      <c r="Q33" s="205"/>
    </row>
    <row r="34" spans="1:17" x14ac:dyDescent="0.25">
      <c r="A34" s="220"/>
      <c r="B34" s="101"/>
      <c r="C34" s="101"/>
      <c r="D34" s="90">
        <f t="shared" si="5"/>
        <v>0</v>
      </c>
      <c r="E34" s="97"/>
      <c r="G34" s="96"/>
      <c r="H34" s="100"/>
      <c r="I34" s="100"/>
      <c r="J34" s="100"/>
      <c r="K34" s="100"/>
      <c r="L34" s="99"/>
      <c r="N34" s="96"/>
      <c r="O34" s="203"/>
      <c r="P34" s="204"/>
      <c r="Q34" s="205"/>
    </row>
    <row r="35" spans="1:17" x14ac:dyDescent="0.25">
      <c r="A35" s="220"/>
      <c r="B35" s="101"/>
      <c r="C35" s="101"/>
      <c r="D35" s="90">
        <f t="shared" si="5"/>
        <v>0</v>
      </c>
      <c r="E35" s="97"/>
      <c r="G35" s="96"/>
      <c r="H35" s="100"/>
      <c r="I35" s="100"/>
      <c r="J35" s="100"/>
      <c r="K35" s="100"/>
      <c r="L35" s="99"/>
      <c r="N35" s="96"/>
      <c r="O35" s="203"/>
      <c r="P35" s="204"/>
      <c r="Q35" s="205"/>
    </row>
    <row r="36" spans="1:17" x14ac:dyDescent="0.25">
      <c r="A36" s="220"/>
      <c r="B36" s="101"/>
      <c r="C36" s="101"/>
      <c r="D36" s="90">
        <f t="shared" si="5"/>
        <v>0</v>
      </c>
      <c r="E36" s="97"/>
      <c r="G36" s="96"/>
      <c r="H36" s="100"/>
      <c r="I36" s="100"/>
      <c r="J36" s="100"/>
      <c r="K36" s="100"/>
      <c r="L36" s="99"/>
      <c r="N36" s="96"/>
      <c r="O36" s="203"/>
      <c r="P36" s="204"/>
      <c r="Q36" s="205"/>
    </row>
    <row r="37" spans="1:17" x14ac:dyDescent="0.25">
      <c r="A37" s="220"/>
      <c r="B37" s="101"/>
      <c r="C37" s="101"/>
      <c r="D37" s="90">
        <f t="shared" si="5"/>
        <v>0</v>
      </c>
      <c r="E37" s="97"/>
      <c r="G37" s="96"/>
      <c r="H37" s="100"/>
      <c r="I37" s="100"/>
      <c r="J37" s="100"/>
      <c r="K37" s="100"/>
      <c r="L37" s="99"/>
      <c r="N37" s="96"/>
      <c r="O37" s="203"/>
      <c r="P37" s="204"/>
      <c r="Q37" s="205"/>
    </row>
    <row r="38" spans="1:17" x14ac:dyDescent="0.25">
      <c r="A38" s="220"/>
      <c r="B38" s="101"/>
      <c r="C38" s="101"/>
      <c r="D38" s="90">
        <f t="shared" si="5"/>
        <v>0</v>
      </c>
      <c r="E38" s="97"/>
      <c r="G38" s="96"/>
      <c r="H38" s="100"/>
      <c r="I38" s="100"/>
      <c r="J38" s="100"/>
      <c r="K38" s="100"/>
      <c r="L38" s="99"/>
      <c r="N38" s="96"/>
      <c r="O38" s="203"/>
      <c r="P38" s="204"/>
      <c r="Q38" s="205"/>
    </row>
    <row r="39" spans="1:17" x14ac:dyDescent="0.25">
      <c r="A39" s="220"/>
      <c r="B39" s="101"/>
      <c r="C39" s="101"/>
      <c r="D39" s="90">
        <f t="shared" si="5"/>
        <v>0</v>
      </c>
      <c r="E39" s="97"/>
      <c r="G39" s="96"/>
      <c r="H39" s="100"/>
      <c r="I39" s="100"/>
      <c r="J39" s="100"/>
      <c r="K39" s="100"/>
      <c r="L39" s="99"/>
      <c r="N39" s="96"/>
      <c r="O39" s="203"/>
      <c r="P39" s="204"/>
      <c r="Q39" s="205"/>
    </row>
    <row r="40" spans="1:17" x14ac:dyDescent="0.25">
      <c r="A40" s="220"/>
      <c r="B40" s="101"/>
      <c r="C40" s="101"/>
      <c r="D40" s="90">
        <f t="shared" si="5"/>
        <v>0</v>
      </c>
      <c r="E40" s="97"/>
      <c r="G40" s="96"/>
      <c r="H40" s="100"/>
      <c r="I40" s="100"/>
      <c r="J40" s="100"/>
      <c r="K40" s="100"/>
      <c r="L40" s="99"/>
      <c r="N40" s="96"/>
      <c r="O40" s="203"/>
      <c r="P40" s="204"/>
      <c r="Q40" s="205"/>
    </row>
    <row r="41" spans="1:17" x14ac:dyDescent="0.25">
      <c r="A41" s="220"/>
      <c r="B41" s="101"/>
      <c r="C41" s="101"/>
      <c r="D41" s="90">
        <f t="shared" si="5"/>
        <v>0</v>
      </c>
      <c r="E41" s="97"/>
      <c r="G41" s="96"/>
      <c r="H41" s="100"/>
      <c r="I41" s="100"/>
      <c r="J41" s="100"/>
      <c r="K41" s="100"/>
      <c r="L41" s="99"/>
      <c r="N41" s="96"/>
      <c r="O41" s="203"/>
      <c r="P41" s="204"/>
      <c r="Q41" s="205"/>
    </row>
    <row r="42" spans="1:17" x14ac:dyDescent="0.25">
      <c r="A42" s="220"/>
      <c r="B42" s="101"/>
      <c r="C42" s="101"/>
      <c r="D42" s="90">
        <f t="shared" si="5"/>
        <v>0</v>
      </c>
      <c r="E42" s="97"/>
      <c r="G42" s="96"/>
      <c r="H42" s="100"/>
      <c r="I42" s="100"/>
      <c r="J42" s="100"/>
      <c r="K42" s="100"/>
      <c r="L42" s="99"/>
      <c r="N42" s="96"/>
      <c r="O42" s="203"/>
      <c r="P42" s="204"/>
      <c r="Q42" s="205"/>
    </row>
    <row r="43" spans="1:17" x14ac:dyDescent="0.25">
      <c r="A43" s="220"/>
      <c r="B43" s="101"/>
      <c r="C43" s="101"/>
      <c r="D43" s="90">
        <f t="shared" si="5"/>
        <v>0</v>
      </c>
      <c r="E43" s="97"/>
      <c r="G43" s="96"/>
      <c r="H43" s="100"/>
      <c r="I43" s="100"/>
      <c r="J43" s="100"/>
      <c r="K43" s="100"/>
      <c r="L43" s="99"/>
      <c r="N43" s="96"/>
      <c r="O43" s="203"/>
      <c r="P43" s="204"/>
      <c r="Q43" s="205"/>
    </row>
    <row r="44" spans="1:17" x14ac:dyDescent="0.25">
      <c r="A44" s="220"/>
      <c r="B44" s="101"/>
      <c r="C44" s="101"/>
      <c r="D44" s="90">
        <f t="shared" si="5"/>
        <v>0</v>
      </c>
      <c r="E44" s="97"/>
      <c r="G44" s="96"/>
      <c r="H44" s="100"/>
      <c r="I44" s="100"/>
      <c r="J44" s="100"/>
      <c r="K44" s="100"/>
      <c r="L44" s="99"/>
      <c r="N44" s="96"/>
      <c r="O44" s="203"/>
      <c r="P44" s="204"/>
      <c r="Q44" s="205"/>
    </row>
    <row r="45" spans="1:17" x14ac:dyDescent="0.25">
      <c r="A45" s="220"/>
      <c r="B45" s="101"/>
      <c r="C45" s="101"/>
      <c r="D45" s="90">
        <f t="shared" si="5"/>
        <v>0</v>
      </c>
      <c r="E45" s="97"/>
      <c r="G45" s="96"/>
      <c r="H45" s="100"/>
      <c r="I45" s="100"/>
      <c r="J45" s="100"/>
      <c r="K45" s="100"/>
      <c r="L45" s="99"/>
      <c r="N45" s="96"/>
      <c r="O45" s="203"/>
      <c r="P45" s="204"/>
      <c r="Q45" s="205"/>
    </row>
    <row r="46" spans="1:17" x14ac:dyDescent="0.25">
      <c r="A46" s="220"/>
      <c r="B46" s="101"/>
      <c r="C46" s="101"/>
      <c r="D46" s="90">
        <f t="shared" si="5"/>
        <v>0</v>
      </c>
      <c r="E46" s="97"/>
      <c r="G46" s="96"/>
      <c r="H46" s="100"/>
      <c r="I46" s="100"/>
      <c r="J46" s="100"/>
      <c r="K46" s="100"/>
      <c r="L46" s="99"/>
      <c r="N46" s="96"/>
      <c r="O46" s="203"/>
      <c r="P46" s="204"/>
      <c r="Q46" s="205"/>
    </row>
    <row r="47" spans="1:17" x14ac:dyDescent="0.25">
      <c r="A47" s="220"/>
      <c r="B47" s="101"/>
      <c r="C47" s="101"/>
      <c r="D47" s="90">
        <f t="shared" si="5"/>
        <v>0</v>
      </c>
      <c r="E47" s="97"/>
      <c r="G47" s="96"/>
      <c r="H47" s="100"/>
      <c r="I47" s="100"/>
      <c r="J47" s="100"/>
      <c r="K47" s="100"/>
      <c r="L47" s="99"/>
      <c r="N47" s="96"/>
      <c r="O47" s="203"/>
      <c r="P47" s="204"/>
      <c r="Q47" s="205"/>
    </row>
    <row r="48" spans="1:17" x14ac:dyDescent="0.25">
      <c r="A48" s="220"/>
      <c r="B48" s="101"/>
      <c r="C48" s="101"/>
      <c r="D48" s="90">
        <f t="shared" si="5"/>
        <v>0</v>
      </c>
      <c r="E48" s="97"/>
      <c r="G48" s="96"/>
      <c r="H48" s="100"/>
      <c r="I48" s="100"/>
      <c r="J48" s="100"/>
      <c r="K48" s="100"/>
      <c r="L48" s="99"/>
      <c r="N48" s="96"/>
      <c r="O48" s="203"/>
      <c r="P48" s="204"/>
      <c r="Q48" s="205"/>
    </row>
    <row r="49" spans="1:17" x14ac:dyDescent="0.25">
      <c r="A49" s="220"/>
      <c r="B49" s="101"/>
      <c r="C49" s="101"/>
      <c r="D49" s="90">
        <f t="shared" si="5"/>
        <v>0</v>
      </c>
      <c r="E49" s="97"/>
      <c r="G49" s="96"/>
      <c r="H49" s="100"/>
      <c r="I49" s="100"/>
      <c r="J49" s="100"/>
      <c r="K49" s="100"/>
      <c r="L49" s="99"/>
      <c r="N49" s="96"/>
      <c r="O49" s="203"/>
      <c r="P49" s="204"/>
      <c r="Q49" s="205"/>
    </row>
    <row r="50" spans="1:17" x14ac:dyDescent="0.25">
      <c r="A50" s="220"/>
      <c r="B50" s="101"/>
      <c r="C50" s="101"/>
      <c r="D50" s="90">
        <f t="shared" si="5"/>
        <v>0</v>
      </c>
      <c r="E50" s="97"/>
      <c r="G50" s="96"/>
      <c r="H50" s="100"/>
      <c r="I50" s="100"/>
      <c r="J50" s="100"/>
      <c r="K50" s="100"/>
      <c r="L50" s="99"/>
      <c r="N50" s="96"/>
      <c r="O50" s="203"/>
      <c r="P50" s="204"/>
      <c r="Q50" s="205"/>
    </row>
    <row r="51" spans="1:17" x14ac:dyDescent="0.25">
      <c r="A51" s="220"/>
      <c r="B51" s="101"/>
      <c r="C51" s="101"/>
      <c r="D51" s="90">
        <f t="shared" si="5"/>
        <v>0</v>
      </c>
      <c r="E51" s="97"/>
      <c r="G51" s="96"/>
      <c r="H51" s="100"/>
      <c r="I51" s="100"/>
      <c r="J51" s="100"/>
      <c r="K51" s="100"/>
      <c r="L51" s="99"/>
      <c r="N51" s="96"/>
      <c r="O51" s="203"/>
      <c r="P51" s="204"/>
      <c r="Q51" s="205"/>
    </row>
    <row r="52" spans="1:17" x14ac:dyDescent="0.25">
      <c r="A52" s="220"/>
      <c r="B52" s="101"/>
      <c r="C52" s="101"/>
      <c r="D52" s="90">
        <f t="shared" si="5"/>
        <v>0</v>
      </c>
      <c r="E52" s="97"/>
      <c r="G52" s="96"/>
      <c r="H52" s="100"/>
      <c r="I52" s="100"/>
      <c r="J52" s="100"/>
      <c r="K52" s="100"/>
      <c r="L52" s="99"/>
      <c r="N52" s="96"/>
      <c r="O52" s="203"/>
      <c r="P52" s="204"/>
      <c r="Q52" s="205"/>
    </row>
    <row r="53" spans="1:17" x14ac:dyDescent="0.25">
      <c r="A53" s="220"/>
      <c r="B53" s="101"/>
      <c r="C53" s="101"/>
      <c r="D53" s="90">
        <f t="shared" si="5"/>
        <v>0</v>
      </c>
      <c r="E53" s="97"/>
      <c r="G53" s="96"/>
      <c r="H53" s="100"/>
      <c r="I53" s="100"/>
      <c r="J53" s="100"/>
      <c r="K53" s="100"/>
      <c r="L53" s="99"/>
      <c r="N53" s="96"/>
      <c r="O53" s="203"/>
      <c r="P53" s="204"/>
      <c r="Q53" s="205"/>
    </row>
    <row r="54" spans="1:17" x14ac:dyDescent="0.25">
      <c r="A54" s="220"/>
      <c r="B54" s="101"/>
      <c r="C54" s="101"/>
      <c r="D54" s="90">
        <f t="shared" si="5"/>
        <v>0</v>
      </c>
      <c r="E54" s="97"/>
      <c r="G54" s="96"/>
      <c r="H54" s="100"/>
      <c r="I54" s="100"/>
      <c r="J54" s="100"/>
      <c r="K54" s="100"/>
      <c r="L54" s="99"/>
      <c r="N54" s="96"/>
      <c r="O54" s="203"/>
      <c r="P54" s="204"/>
      <c r="Q54" s="205"/>
    </row>
    <row r="55" spans="1:17" ht="14.4" thickBot="1" x14ac:dyDescent="0.3">
      <c r="A55" s="220"/>
      <c r="B55" s="101"/>
      <c r="C55" s="101"/>
      <c r="D55" s="90">
        <f t="shared" si="5"/>
        <v>0</v>
      </c>
      <c r="E55" s="97"/>
      <c r="G55" s="96"/>
      <c r="H55" s="100"/>
      <c r="I55" s="100"/>
      <c r="J55" s="100"/>
      <c r="K55" s="100"/>
      <c r="L55" s="99"/>
      <c r="N55" s="96"/>
      <c r="O55" s="203"/>
      <c r="P55" s="204"/>
      <c r="Q55" s="205"/>
    </row>
    <row r="56" spans="1:17" ht="15" thickTop="1" thickBot="1" x14ac:dyDescent="0.3">
      <c r="A56" s="105" t="s">
        <v>161</v>
      </c>
      <c r="B56" s="103"/>
      <c r="C56" s="103"/>
      <c r="D56" s="104"/>
      <c r="E56" s="97"/>
      <c r="G56" s="96"/>
      <c r="H56" s="100"/>
      <c r="I56" s="100"/>
      <c r="J56" s="100"/>
      <c r="K56" s="44"/>
      <c r="L56" s="99"/>
    </row>
    <row r="57" spans="1:17" ht="14.4" thickTop="1" x14ac:dyDescent="0.25">
      <c r="A57" s="102"/>
      <c r="B57" s="102"/>
      <c r="C57" s="85"/>
      <c r="D57" s="139"/>
      <c r="E57" s="97"/>
      <c r="G57" s="96"/>
      <c r="H57" s="100"/>
      <c r="I57" s="100"/>
      <c r="J57" s="100"/>
      <c r="K57" s="44"/>
      <c r="L57" s="99"/>
    </row>
    <row r="58" spans="1:17" x14ac:dyDescent="0.25">
      <c r="A58" s="85"/>
      <c r="B58" s="85"/>
      <c r="C58" s="85"/>
      <c r="D58" s="140"/>
      <c r="E58" s="97"/>
      <c r="G58" s="96"/>
      <c r="H58" s="100"/>
      <c r="I58" s="100"/>
      <c r="J58" s="100"/>
      <c r="K58" s="44"/>
      <c r="L58" s="99"/>
    </row>
    <row r="59" spans="1:17" x14ac:dyDescent="0.25">
      <c r="A59" s="85"/>
      <c r="B59" s="85"/>
      <c r="C59" s="85"/>
      <c r="D59" s="140"/>
      <c r="E59" s="97"/>
      <c r="G59" s="96"/>
      <c r="H59" s="100"/>
      <c r="I59" s="100"/>
      <c r="J59" s="100"/>
      <c r="K59" s="44"/>
      <c r="L59" s="99"/>
    </row>
    <row r="60" spans="1:17" x14ac:dyDescent="0.25">
      <c r="A60" s="85"/>
      <c r="B60" s="85"/>
      <c r="C60" s="85"/>
      <c r="D60" s="140"/>
      <c r="E60" s="98"/>
      <c r="G60" s="96"/>
      <c r="H60" s="100"/>
      <c r="I60" s="100"/>
      <c r="J60" s="100"/>
      <c r="K60" s="44"/>
      <c r="L60" s="99"/>
    </row>
    <row r="61" spans="1:17" x14ac:dyDescent="0.25">
      <c r="A61" s="85"/>
      <c r="B61" s="85"/>
      <c r="C61" s="85"/>
      <c r="D61" s="140"/>
      <c r="E61" s="98"/>
      <c r="G61" s="96"/>
      <c r="H61" s="100"/>
      <c r="I61" s="100"/>
      <c r="J61" s="100"/>
      <c r="K61" s="44"/>
      <c r="L61" s="99"/>
    </row>
    <row r="62" spans="1:17" x14ac:dyDescent="0.25">
      <c r="A62" s="85"/>
      <c r="B62" s="85"/>
      <c r="C62" s="85"/>
      <c r="D62" s="140"/>
      <c r="E62" s="98"/>
      <c r="G62" s="96"/>
      <c r="H62" s="100"/>
      <c r="I62" s="100"/>
      <c r="J62" s="100"/>
      <c r="K62" s="44"/>
      <c r="L62" s="99"/>
    </row>
    <row r="63" spans="1:17" x14ac:dyDescent="0.25">
      <c r="A63" s="85"/>
      <c r="B63" s="85"/>
      <c r="C63" s="85"/>
      <c r="D63" s="140"/>
      <c r="E63" s="98"/>
      <c r="G63" s="96"/>
      <c r="H63" s="100"/>
      <c r="I63" s="100"/>
      <c r="J63" s="100"/>
      <c r="K63" s="44"/>
      <c r="L63" s="99"/>
    </row>
    <row r="64" spans="1:17" x14ac:dyDescent="0.25">
      <c r="A64" s="85"/>
      <c r="B64" s="85"/>
      <c r="C64" s="85"/>
      <c r="D64" s="140"/>
      <c r="E64" s="98"/>
      <c r="G64" s="96"/>
      <c r="H64" s="100"/>
      <c r="I64" s="100"/>
      <c r="J64" s="100"/>
      <c r="K64" s="44"/>
      <c r="L64" s="99"/>
    </row>
    <row r="65" spans="1:12" x14ac:dyDescent="0.25">
      <c r="A65" s="85"/>
      <c r="B65" s="85"/>
      <c r="C65" s="85"/>
      <c r="D65" s="140"/>
      <c r="E65" s="98"/>
      <c r="G65" s="96"/>
      <c r="H65" s="100"/>
      <c r="I65" s="100"/>
      <c r="J65" s="100"/>
      <c r="K65" s="44"/>
      <c r="L65" s="99"/>
    </row>
    <row r="66" spans="1:12" x14ac:dyDescent="0.25">
      <c r="A66" s="85"/>
      <c r="B66" s="85"/>
      <c r="C66" s="85"/>
      <c r="D66" s="140"/>
      <c r="E66" s="98"/>
      <c r="G66" s="96"/>
      <c r="H66" s="100"/>
      <c r="I66" s="100"/>
      <c r="J66" s="100"/>
      <c r="K66" s="44"/>
      <c r="L66" s="99"/>
    </row>
    <row r="67" spans="1:12" x14ac:dyDescent="0.25">
      <c r="A67" s="13"/>
      <c r="B67" s="13"/>
      <c r="C67" s="91" t="s">
        <v>78</v>
      </c>
      <c r="D67" s="106">
        <f>SUM(D16:D66)</f>
        <v>0</v>
      </c>
      <c r="G67" s="96"/>
      <c r="H67" s="100"/>
      <c r="I67" s="100"/>
      <c r="J67" s="100"/>
      <c r="K67" s="44"/>
      <c r="L67" s="99"/>
    </row>
    <row r="68" spans="1:12" x14ac:dyDescent="0.25">
      <c r="G68" s="96"/>
      <c r="H68" s="100"/>
      <c r="I68" s="100"/>
      <c r="J68" s="100"/>
      <c r="K68" s="44"/>
      <c r="L68" s="99"/>
    </row>
  </sheetData>
  <sheetProtection algorithmName="SHA-512" hashValue="wQ2yxc5oFWoNu8XvLImySf9heRdd6Cl0IuQ51vUmhggPxb3yokde5UNrZfmRH7Um8Tp7sSYqwUWgSYbqrWG0dg==" saltValue="PwHEbzVto8QsC6TM4x0lRA==" spinCount="100000" sheet="1" selectLockedCells="1"/>
  <mergeCells count="6">
    <mergeCell ref="N17:N18"/>
    <mergeCell ref="O17:P17"/>
    <mergeCell ref="N16:Q16"/>
    <mergeCell ref="G17:G18"/>
    <mergeCell ref="L17:L18"/>
    <mergeCell ref="H17:K1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0" sqref="B10"/>
    </sheetView>
  </sheetViews>
  <sheetFormatPr defaultColWidth="8.88671875" defaultRowHeight="13.8" x14ac:dyDescent="0.25"/>
  <cols>
    <col min="1" max="1" width="19.44140625" style="1" customWidth="1"/>
    <col min="2" max="2" width="8.44140625" style="1" customWidth="1"/>
    <col min="3" max="3" width="13.44140625" style="1" customWidth="1"/>
    <col min="4" max="4" width="13.5546875" style="1" customWidth="1"/>
    <col min="5" max="5" width="16.5546875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127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44" t="s">
        <v>174</v>
      </c>
      <c r="B8" s="144"/>
      <c r="C8" s="144"/>
      <c r="D8" s="144"/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1" t="s">
        <v>184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44</v>
      </c>
      <c r="B10" s="79"/>
      <c r="C10" s="1" t="s">
        <v>8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7" t="s">
        <v>122</v>
      </c>
      <c r="B11" s="79"/>
      <c r="C11" s="1" t="s">
        <v>123</v>
      </c>
      <c r="E11" s="1" t="s">
        <v>13</v>
      </c>
      <c r="F11" s="95">
        <v>40</v>
      </c>
      <c r="G11" s="1" t="s">
        <v>14</v>
      </c>
      <c r="K11" s="1" t="s">
        <v>19</v>
      </c>
      <c r="M11" s="16">
        <f>$M$5/100</f>
        <v>2.75E-2</v>
      </c>
    </row>
    <row r="12" spans="1:13" x14ac:dyDescent="0.25">
      <c r="A12" s="1" t="s">
        <v>124</v>
      </c>
      <c r="B12" s="79"/>
      <c r="C12" s="1" t="s">
        <v>125</v>
      </c>
      <c r="E12" s="11" t="s">
        <v>28</v>
      </c>
      <c r="F12" s="29">
        <v>0.09</v>
      </c>
      <c r="G12" s="11" t="s">
        <v>29</v>
      </c>
      <c r="M12" s="16"/>
    </row>
    <row r="14" spans="1:13" x14ac:dyDescent="0.25">
      <c r="A14" s="144" t="s">
        <v>175</v>
      </c>
      <c r="B14" s="144"/>
      <c r="C14" s="145"/>
    </row>
    <row r="15" spans="1:13" ht="14.4" x14ac:dyDescent="0.3">
      <c r="A15" s="1" t="s">
        <v>12</v>
      </c>
      <c r="C15" s="207">
        <f>IF(B11&lt;10,0,(IF(B12&lt;100,0,(($B$4/8005)*((72055*($B$11)^0.525)*(LN(B12))+(352413-601218*LN($B$11)))))))</f>
        <v>0</v>
      </c>
      <c r="E15"/>
    </row>
    <row r="16" spans="1:13" x14ac:dyDescent="0.25">
      <c r="A16" s="1" t="s">
        <v>11</v>
      </c>
      <c r="C16" s="9">
        <f>(C15+C14)*0.2</f>
        <v>0</v>
      </c>
    </row>
    <row r="17" spans="1:5" x14ac:dyDescent="0.25">
      <c r="A17" s="1" t="s">
        <v>71</v>
      </c>
      <c r="C17" s="80"/>
    </row>
    <row r="18" spans="1:5" x14ac:dyDescent="0.25">
      <c r="A18" s="1" t="s">
        <v>20</v>
      </c>
      <c r="C18" s="9">
        <f>SUM(C14:C17)</f>
        <v>0</v>
      </c>
    </row>
    <row r="19" spans="1:5" x14ac:dyDescent="0.25">
      <c r="A19" s="1" t="s">
        <v>21</v>
      </c>
      <c r="C19" s="9">
        <f>$C$18*(VLOOKUP($F$11,$K$6:$M$10,3,TRUE))</f>
        <v>0</v>
      </c>
      <c r="D19" s="1" t="s">
        <v>24</v>
      </c>
    </row>
    <row r="20" spans="1:5" x14ac:dyDescent="0.25">
      <c r="A20" s="1" t="s">
        <v>22</v>
      </c>
      <c r="C20" s="9"/>
      <c r="D20" s="1" t="s">
        <v>24</v>
      </c>
      <c r="E20" s="1" t="s">
        <v>126</v>
      </c>
    </row>
    <row r="21" spans="1:5" x14ac:dyDescent="0.25">
      <c r="A21" s="1" t="s">
        <v>30</v>
      </c>
      <c r="C21" s="9">
        <f>C19+C20</f>
        <v>0</v>
      </c>
      <c r="D21" s="1" t="s">
        <v>24</v>
      </c>
    </row>
    <row r="22" spans="1:5" x14ac:dyDescent="0.25">
      <c r="A22" s="4" t="s">
        <v>23</v>
      </c>
      <c r="B22" s="4"/>
      <c r="C22" s="17">
        <f>IF(B10=0,0,(C21/($B$10*1000*365)))</f>
        <v>0</v>
      </c>
      <c r="D22" s="4" t="s">
        <v>25</v>
      </c>
    </row>
    <row r="23" spans="1:5" x14ac:dyDescent="0.25">
      <c r="C23" s="9"/>
    </row>
    <row r="24" spans="1:5" x14ac:dyDescent="0.25">
      <c r="C24" s="9"/>
    </row>
    <row r="25" spans="1:5" x14ac:dyDescent="0.25">
      <c r="C25" s="9"/>
    </row>
    <row r="26" spans="1:5" ht="14.4" x14ac:dyDescent="0.3">
      <c r="E26" s="50"/>
    </row>
    <row r="27" spans="1:5" ht="14.4" x14ac:dyDescent="0.3">
      <c r="E27" s="51"/>
    </row>
    <row r="28" spans="1:5" ht="14.4" x14ac:dyDescent="0.3">
      <c r="E28" s="52"/>
    </row>
  </sheetData>
  <sheetProtection algorithmName="SHA-512" hashValue="5GhqRbdY4YMmqUpe5PUoWknQDB2kuO9sG8VJSRvekcwW7mUkB/9BC6GA3AygKoCQBu8g3GfWKzb2thfRLR6O+g==" saltValue="W/9vHkkKmuaalvpMoD9A+Q==" spinCount="100000" sheet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B9" sqref="B9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88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B8" s="211"/>
      <c r="E8" s="1" t="s">
        <v>13</v>
      </c>
      <c r="F8" s="34">
        <v>35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1" t="s">
        <v>121</v>
      </c>
      <c r="B9" s="81"/>
      <c r="C9" s="1" t="s">
        <v>60</v>
      </c>
      <c r="D9" s="44"/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187</v>
      </c>
      <c r="B10" s="217">
        <v>0.5</v>
      </c>
      <c r="C10" s="1" t="s">
        <v>188</v>
      </c>
      <c r="D10" s="4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IF(B9=0,0,(($B$4/8005)*(333000+340000*$B$9)))</f>
        <v>0</v>
      </c>
      <c r="L13" s="13"/>
    </row>
    <row r="14" spans="1:13" x14ac:dyDescent="0.25">
      <c r="A14" s="1" t="s">
        <v>11</v>
      </c>
      <c r="C14" s="9">
        <f>C13*0.2</f>
        <v>0</v>
      </c>
      <c r="K14" s="237"/>
      <c r="L14" s="237"/>
    </row>
    <row r="15" spans="1:13" x14ac:dyDescent="0.25">
      <c r="A15" s="1" t="s">
        <v>71</v>
      </c>
      <c r="C15" s="80"/>
      <c r="K15" s="23"/>
      <c r="L15" s="23"/>
      <c r="M15" s="23"/>
    </row>
    <row r="16" spans="1:13" x14ac:dyDescent="0.25">
      <c r="A16" s="1" t="s">
        <v>20</v>
      </c>
      <c r="C16" s="9">
        <f>SUM(C13:C15)</f>
        <v>0</v>
      </c>
      <c r="K16" s="23"/>
      <c r="L16" s="23"/>
      <c r="M16" s="23"/>
    </row>
    <row r="17" spans="1:13" x14ac:dyDescent="0.25">
      <c r="A17" s="1" t="s">
        <v>21</v>
      </c>
      <c r="C17" s="9">
        <f>$C$16*(VLOOKUP($F$8,$K$6:$M$10,3,TRUE))</f>
        <v>0</v>
      </c>
      <c r="D17" s="1" t="s">
        <v>24</v>
      </c>
      <c r="K17" s="23"/>
      <c r="L17" s="23"/>
      <c r="M17" s="23"/>
    </row>
    <row r="18" spans="1:13" x14ac:dyDescent="0.25">
      <c r="A18" s="1" t="s">
        <v>22</v>
      </c>
      <c r="C18" s="9"/>
      <c r="D18" s="1" t="s">
        <v>61</v>
      </c>
      <c r="K18" s="23"/>
      <c r="L18" s="23"/>
      <c r="M18" s="23"/>
    </row>
    <row r="19" spans="1:13" x14ac:dyDescent="0.25">
      <c r="A19" s="1" t="s">
        <v>30</v>
      </c>
      <c r="C19" s="9">
        <f>C17+C18</f>
        <v>0</v>
      </c>
      <c r="D19" s="1" t="s">
        <v>24</v>
      </c>
      <c r="K19" s="23"/>
      <c r="L19" s="23"/>
      <c r="M19" s="23"/>
    </row>
    <row r="20" spans="1:13" x14ac:dyDescent="0.25">
      <c r="A20" s="4" t="s">
        <v>23</v>
      </c>
      <c r="B20" s="4"/>
      <c r="C20" s="17">
        <f>IF(B9=0,0,(C19/(($B$10)*1000*365)))</f>
        <v>0</v>
      </c>
      <c r="D20" s="4" t="s">
        <v>25</v>
      </c>
      <c r="K20" s="23"/>
      <c r="L20" s="23"/>
      <c r="M20" s="23"/>
    </row>
    <row r="21" spans="1:13" x14ac:dyDescent="0.25">
      <c r="C21" s="9"/>
      <c r="K21" s="23"/>
      <c r="L21" s="23"/>
      <c r="M21" s="23"/>
    </row>
    <row r="22" spans="1:13" x14ac:dyDescent="0.25">
      <c r="C22" s="9"/>
      <c r="K22" s="23"/>
      <c r="L22" s="23"/>
      <c r="M22" s="23"/>
    </row>
    <row r="23" spans="1:13" x14ac:dyDescent="0.25">
      <c r="C23" s="9"/>
      <c r="K23" s="23"/>
      <c r="L23" s="23"/>
      <c r="M23" s="23"/>
    </row>
    <row r="24" spans="1:13" x14ac:dyDescent="0.25">
      <c r="C24" s="9"/>
      <c r="E24" s="9"/>
      <c r="K24" s="23"/>
      <c r="L24" s="23"/>
      <c r="M24" s="23"/>
    </row>
    <row r="25" spans="1:13" x14ac:dyDescent="0.25">
      <c r="C25" s="9"/>
      <c r="K25" s="23"/>
      <c r="L25" s="23"/>
      <c r="M25" s="23"/>
    </row>
    <row r="26" spans="1:13" x14ac:dyDescent="0.25">
      <c r="C26" s="9"/>
      <c r="K26" s="23"/>
      <c r="L26" s="23"/>
      <c r="M26" s="23"/>
    </row>
    <row r="27" spans="1:13" x14ac:dyDescent="0.25">
      <c r="C27" s="9"/>
      <c r="K27" s="23"/>
      <c r="L27" s="23"/>
      <c r="M27" s="23"/>
    </row>
    <row r="28" spans="1:13" x14ac:dyDescent="0.25">
      <c r="C28" s="9"/>
      <c r="K28" s="23"/>
      <c r="L28" s="23"/>
      <c r="M28" s="23"/>
    </row>
    <row r="29" spans="1:13" x14ac:dyDescent="0.25">
      <c r="C29" s="9"/>
      <c r="K29" s="23"/>
      <c r="L29" s="23"/>
      <c r="M29" s="23"/>
    </row>
    <row r="30" spans="1:13" x14ac:dyDescent="0.25">
      <c r="C30" s="9"/>
      <c r="K30" s="23"/>
      <c r="L30" s="23"/>
      <c r="M30" s="23"/>
    </row>
    <row r="31" spans="1:13" x14ac:dyDescent="0.25">
      <c r="C31" s="9"/>
      <c r="K31" s="23"/>
      <c r="L31" s="23"/>
      <c r="M31" s="23"/>
    </row>
    <row r="32" spans="1:13" x14ac:dyDescent="0.25">
      <c r="C32" s="216"/>
      <c r="K32" s="23"/>
      <c r="L32" s="23"/>
      <c r="M32" s="23"/>
    </row>
    <row r="33" spans="11:13" x14ac:dyDescent="0.25">
      <c r="K33" s="23"/>
      <c r="L33" s="23"/>
      <c r="M33" s="23"/>
    </row>
    <row r="34" spans="11:13" x14ac:dyDescent="0.25">
      <c r="K34" s="23"/>
      <c r="L34" s="23"/>
      <c r="M34" s="23"/>
    </row>
    <row r="35" spans="11:13" x14ac:dyDescent="0.25">
      <c r="K35" s="23"/>
      <c r="L35" s="23"/>
      <c r="M35" s="23"/>
    </row>
    <row r="36" spans="11:13" x14ac:dyDescent="0.25">
      <c r="K36" s="23"/>
      <c r="L36" s="23"/>
      <c r="M36" s="23"/>
    </row>
  </sheetData>
  <sheetProtection algorithmName="SHA-512" hashValue="TFi4FDO0qmTti+WgB0Tczj3UYEjEKWB6jwz1O9ZP47YK8aa3rJorsi5KPiG8Nh8qPF3Y9vYfQitN2skgmV1AqA==" saltValue="7LnuZaA2ONZ/2ZBT7mFjeQ==" spinCount="100000" sheet="1" objects="1" scenarios="1" selectLockedCells="1"/>
  <mergeCells count="1">
    <mergeCell ref="K14:L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Summary</vt:lpstr>
      <vt:lpstr>Gen Info</vt:lpstr>
      <vt:lpstr>1.1.4 Deep Bed Filters</vt:lpstr>
      <vt:lpstr>1.1.10 Chlorine Disinf Syst</vt:lpstr>
      <vt:lpstr>1.1.15 Trans Pumping Sys(RC Bs)</vt:lpstr>
      <vt:lpstr>1.1.16 High Service Pumping Sys</vt:lpstr>
      <vt:lpstr>1.2 Transmission pipelines</vt:lpstr>
      <vt:lpstr>1.5 Water Prod Well</vt:lpstr>
      <vt:lpstr>1.6 Concrete Storage Tanks</vt:lpstr>
      <vt:lpstr>2.1a UFA Wellfield</vt:lpstr>
      <vt:lpstr>2.1b LFA wellfield</vt:lpstr>
      <vt:lpstr>2.2 ASR systems</vt:lpstr>
      <vt:lpstr>2.3 Booster PS</vt:lpstr>
      <vt:lpstr>2.4 Residual Disinfection</vt:lpstr>
      <vt:lpstr>2.6 Brackish GW TP</vt:lpstr>
      <vt:lpstr>2.7 Conv SW TP</vt:lpstr>
      <vt:lpstr>2.8.1  Brackish SW TP -Potable</vt:lpstr>
      <vt:lpstr>2.8.2 Brack SW TP - Reuse Aug</vt:lpstr>
      <vt:lpstr>2.10a Seawater Desal WTP &lt;25mgd</vt:lpstr>
      <vt:lpstr>2.10b Seawater Desal WTP&gt;25mgd</vt:lpstr>
      <vt:lpstr>2.11.1 Mod to existing WWTP</vt:lpstr>
      <vt:lpstr>2.12  Ponds &amp; Reservoirs</vt:lpstr>
      <vt:lpstr>2.13 RIBs</vt:lpstr>
      <vt:lpstr>2.14 SW Intake</vt:lpstr>
      <vt:lpstr>2.15 Injection Well syst LFA</vt:lpstr>
      <vt:lpstr>ASR MW</vt:lpstr>
      <vt:lpstr>Proj Known costs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cgbrown</dc:creator>
  <cp:lastModifiedBy>Carol Brown</cp:lastModifiedBy>
  <cp:lastPrinted>2018-04-13T15:20:24Z</cp:lastPrinted>
  <dcterms:created xsi:type="dcterms:W3CDTF">2014-03-07T14:44:24Z</dcterms:created>
  <dcterms:modified xsi:type="dcterms:W3CDTF">2018-05-02T15:01:44Z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